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istan.roznowski/Downloads/"/>
    </mc:Choice>
  </mc:AlternateContent>
  <xr:revisionPtr revIDLastSave="0" documentId="8_{7D2B7709-1869-BD45-A703-ED066B73BBA5}" xr6:coauthVersionLast="47" xr6:coauthVersionMax="47" xr10:uidLastSave="{00000000-0000-0000-0000-000000000000}"/>
  <bookViews>
    <workbookView xWindow="29400" yWindow="-1680" windowWidth="38400" windowHeight="21600" xr2:uid="{00000000-000D-0000-FFFF-FFFF00000000}"/>
  </bookViews>
  <sheets>
    <sheet name="All Cuvées" sheetId="6" r:id="rId1"/>
  </sheets>
  <definedNames>
    <definedName name="_xlnm._FilterDatabase" localSheetId="0" hidden="1">'All Cuvées'!$B$6:$AH$60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6" l="1"/>
  <c r="G60" i="6" s="1"/>
  <c r="F59" i="6"/>
  <c r="G59" i="6" s="1"/>
  <c r="F58" i="6"/>
  <c r="G58" i="6" s="1"/>
  <c r="F57" i="6"/>
  <c r="G57" i="6" s="1"/>
  <c r="F56" i="6"/>
  <c r="G56" i="6" s="1"/>
  <c r="F55" i="6"/>
  <c r="G55" i="6" s="1"/>
  <c r="F54" i="6"/>
  <c r="G54" i="6" s="1"/>
  <c r="F53" i="6"/>
  <c r="G53" i="6" s="1"/>
  <c r="F52" i="6"/>
  <c r="G52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34" i="6"/>
  <c r="G34" i="6" s="1"/>
  <c r="F33" i="6"/>
  <c r="G33" i="6" s="1"/>
  <c r="F30" i="6"/>
  <c r="G30" i="6" s="1"/>
  <c r="F29" i="6"/>
  <c r="G29" i="6" s="1"/>
  <c r="F28" i="6"/>
  <c r="G28" i="6" s="1"/>
  <c r="F27" i="6"/>
  <c r="G27" i="6" s="1"/>
  <c r="F51" i="6"/>
  <c r="G51" i="6" s="1"/>
  <c r="F50" i="6"/>
  <c r="G50" i="6" s="1"/>
  <c r="F49" i="6"/>
  <c r="G49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2" i="6"/>
  <c r="G32" i="6" s="1"/>
  <c r="F31" i="6"/>
  <c r="G31" i="6" s="1"/>
  <c r="F26" i="6"/>
  <c r="G26" i="6" s="1"/>
  <c r="F25" i="6"/>
  <c r="G25" i="6" s="1"/>
  <c r="F21" i="6"/>
  <c r="G21" i="6" s="1"/>
  <c r="F24" i="6"/>
  <c r="G24" i="6" s="1"/>
  <c r="F23" i="6"/>
  <c r="G23" i="6" s="1"/>
  <c r="F22" i="6"/>
  <c r="G22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U60" i="6"/>
  <c r="V60" i="6" s="1"/>
  <c r="U59" i="6"/>
  <c r="U51" i="6"/>
  <c r="V51" i="6" s="1"/>
  <c r="U50" i="6"/>
  <c r="V50" i="6" s="1"/>
  <c r="U49" i="6"/>
  <c r="V49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2" i="6"/>
  <c r="V32" i="6" s="1"/>
  <c r="U31" i="6"/>
  <c r="V31" i="6" s="1"/>
  <c r="U26" i="6"/>
  <c r="V26" i="6" s="1"/>
  <c r="U25" i="6"/>
  <c r="V25" i="6" s="1"/>
  <c r="U21" i="6"/>
  <c r="V21" i="6" s="1"/>
  <c r="U10" i="6"/>
  <c r="V10" i="6" s="1"/>
  <c r="U30" i="6"/>
  <c r="V30" i="6" s="1"/>
  <c r="U29" i="6"/>
  <c r="V29" i="6" s="1"/>
  <c r="U28" i="6"/>
  <c r="V28" i="6" s="1"/>
  <c r="U27" i="6"/>
  <c r="V27" i="6" s="1"/>
  <c r="U33" i="6"/>
  <c r="V33" i="6" s="1"/>
  <c r="U34" i="6"/>
  <c r="V34" i="6" s="1"/>
  <c r="U42" i="6"/>
  <c r="V42" i="6" s="1"/>
  <c r="U43" i="6"/>
  <c r="V43" i="6" s="1"/>
  <c r="U44" i="6"/>
  <c r="V44" i="6" s="1"/>
  <c r="U45" i="6"/>
  <c r="V45" i="6" s="1"/>
  <c r="U46" i="6"/>
  <c r="V46" i="6" s="1"/>
  <c r="U47" i="6"/>
  <c r="V47" i="6" s="1"/>
  <c r="U48" i="6"/>
  <c r="V48" i="6" s="1"/>
  <c r="U52" i="6"/>
  <c r="V52" i="6" s="1"/>
  <c r="U53" i="6"/>
  <c r="V53" i="6" s="1"/>
  <c r="U54" i="6"/>
  <c r="V54" i="6" s="1"/>
  <c r="U55" i="6"/>
  <c r="V55" i="6" s="1"/>
  <c r="U56" i="6"/>
  <c r="V56" i="6" s="1"/>
  <c r="U57" i="6"/>
  <c r="V57" i="6" s="1"/>
  <c r="U58" i="6"/>
  <c r="V58" i="6" s="1"/>
  <c r="U24" i="6"/>
  <c r="V24" i="6" s="1"/>
  <c r="U23" i="6"/>
  <c r="V23" i="6" s="1"/>
  <c r="U22" i="6"/>
  <c r="V22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U14" i="6"/>
  <c r="V14" i="6" s="1"/>
  <c r="U13" i="6"/>
  <c r="V13" i="6" s="1"/>
  <c r="U12" i="6"/>
  <c r="V12" i="6" s="1"/>
  <c r="U11" i="6"/>
  <c r="V11" i="6" s="1"/>
  <c r="U9" i="6"/>
  <c r="V9" i="6" s="1"/>
  <c r="U8" i="6"/>
  <c r="V8" i="6" s="1"/>
  <c r="U7" i="6"/>
  <c r="V7" i="6" s="1"/>
  <c r="X58" i="6"/>
  <c r="Y58" i="6" s="1"/>
  <c r="X57" i="6"/>
  <c r="Y57" i="6" s="1"/>
  <c r="X56" i="6"/>
  <c r="Y56" i="6" s="1"/>
  <c r="X55" i="6"/>
  <c r="Y55" i="6" s="1"/>
  <c r="X54" i="6"/>
  <c r="Y54" i="6" s="1"/>
  <c r="X53" i="6"/>
  <c r="Y53" i="6" s="1"/>
  <c r="X52" i="6"/>
  <c r="Y52" i="6" s="1"/>
  <c r="X48" i="6"/>
  <c r="Y48" i="6" s="1"/>
  <c r="X47" i="6"/>
  <c r="Y47" i="6" s="1"/>
  <c r="X46" i="6"/>
  <c r="Y46" i="6" s="1"/>
  <c r="X45" i="6"/>
  <c r="Y45" i="6" s="1"/>
  <c r="X44" i="6"/>
  <c r="Y44" i="6" s="1"/>
  <c r="X43" i="6"/>
  <c r="Y43" i="6" s="1"/>
  <c r="X42" i="6"/>
  <c r="Y42" i="6" s="1"/>
  <c r="X34" i="6"/>
  <c r="Y34" i="6" s="1"/>
  <c r="X33" i="6"/>
  <c r="Y33" i="6" s="1"/>
  <c r="X30" i="6"/>
  <c r="Y30" i="6" s="1"/>
  <c r="X29" i="6"/>
  <c r="Y29" i="6" s="1"/>
  <c r="X28" i="6"/>
  <c r="Y28" i="6" s="1"/>
  <c r="X27" i="6"/>
  <c r="Y27" i="6" s="1"/>
  <c r="X24" i="6"/>
  <c r="Y24" i="6" s="1"/>
  <c r="X23" i="6"/>
  <c r="Y23" i="6" s="1"/>
  <c r="X22" i="6"/>
  <c r="Y22" i="6" s="1"/>
  <c r="X20" i="6"/>
  <c r="Y20" i="6" s="1"/>
  <c r="X19" i="6"/>
  <c r="Y19" i="6" s="1"/>
  <c r="X18" i="6"/>
  <c r="Y18" i="6" s="1"/>
  <c r="X17" i="6"/>
  <c r="Y17" i="6" s="1"/>
  <c r="X16" i="6"/>
  <c r="Y16" i="6" s="1"/>
  <c r="X15" i="6"/>
  <c r="Y15" i="6" s="1"/>
  <c r="X14" i="6"/>
  <c r="Y14" i="6" s="1"/>
  <c r="X13" i="6"/>
  <c r="Y13" i="6" s="1"/>
  <c r="X12" i="6"/>
  <c r="Y12" i="6" s="1"/>
  <c r="X11" i="6"/>
  <c r="Y11" i="6" s="1"/>
  <c r="X51" i="6"/>
  <c r="Y51" i="6" s="1"/>
  <c r="X50" i="6"/>
  <c r="Y50" i="6" s="1"/>
  <c r="X49" i="6"/>
  <c r="Y49" i="6" s="1"/>
  <c r="X41" i="6"/>
  <c r="Y41" i="6" s="1"/>
  <c r="X40" i="6"/>
  <c r="Y40" i="6" s="1"/>
  <c r="X39" i="6"/>
  <c r="Y39" i="6" s="1"/>
  <c r="X38" i="6"/>
  <c r="Y38" i="6" s="1"/>
  <c r="X37" i="6"/>
  <c r="Y37" i="6" s="1"/>
  <c r="X36" i="6"/>
  <c r="Y36" i="6" s="1"/>
  <c r="X35" i="6"/>
  <c r="Y35" i="6" s="1"/>
  <c r="X32" i="6"/>
  <c r="Y32" i="6" s="1"/>
  <c r="X31" i="6"/>
  <c r="Y31" i="6" s="1"/>
  <c r="X26" i="6"/>
  <c r="Y26" i="6" s="1"/>
  <c r="X25" i="6"/>
  <c r="Y25" i="6" s="1"/>
  <c r="X21" i="6"/>
  <c r="Y21" i="6" s="1"/>
  <c r="X10" i="6"/>
  <c r="Y10" i="6" s="1"/>
  <c r="X9" i="6"/>
  <c r="Y9" i="6" s="1"/>
  <c r="X8" i="6"/>
  <c r="Y8" i="6" s="1"/>
  <c r="X7" i="6"/>
  <c r="Y7" i="6" s="1"/>
  <c r="X60" i="6"/>
  <c r="X59" i="6"/>
  <c r="AA60" i="6"/>
  <c r="AA59" i="6"/>
  <c r="AA58" i="6"/>
  <c r="AB58" i="6" s="1"/>
  <c r="AA57" i="6"/>
  <c r="AB57" i="6" s="1"/>
  <c r="AA56" i="6"/>
  <c r="AB56" i="6" s="1"/>
  <c r="AA55" i="6"/>
  <c r="AB55" i="6" s="1"/>
  <c r="AA54" i="6"/>
  <c r="AB54" i="6" s="1"/>
  <c r="AA53" i="6"/>
  <c r="AB53" i="6" s="1"/>
  <c r="AA52" i="6"/>
  <c r="AB52" i="6" s="1"/>
  <c r="AA48" i="6"/>
  <c r="AB48" i="6" s="1"/>
  <c r="AA47" i="6"/>
  <c r="AB47" i="6" s="1"/>
  <c r="AA46" i="6"/>
  <c r="AB46" i="6" s="1"/>
  <c r="AA45" i="6"/>
  <c r="AB45" i="6" s="1"/>
  <c r="AA44" i="6"/>
  <c r="AB44" i="6" s="1"/>
  <c r="AA43" i="6"/>
  <c r="AB43" i="6" s="1"/>
  <c r="AA42" i="6"/>
  <c r="AB42" i="6" s="1"/>
  <c r="AA34" i="6"/>
  <c r="AB34" i="6" s="1"/>
  <c r="AA33" i="6"/>
  <c r="AB33" i="6" s="1"/>
  <c r="AA30" i="6"/>
  <c r="AB30" i="6" s="1"/>
  <c r="AA29" i="6"/>
  <c r="AB29" i="6" s="1"/>
  <c r="AA28" i="6"/>
  <c r="AB28" i="6" s="1"/>
  <c r="AA27" i="6"/>
  <c r="AB27" i="6" s="1"/>
  <c r="AA24" i="6"/>
  <c r="AB24" i="6" s="1"/>
  <c r="AA23" i="6"/>
  <c r="AB23" i="6" s="1"/>
  <c r="AA22" i="6"/>
  <c r="AB22" i="6" s="1"/>
  <c r="AA20" i="6"/>
  <c r="AB20" i="6" s="1"/>
  <c r="AA19" i="6"/>
  <c r="AB19" i="6" s="1"/>
  <c r="AA18" i="6"/>
  <c r="AB18" i="6" s="1"/>
  <c r="AA17" i="6"/>
  <c r="AB17" i="6" s="1"/>
  <c r="AA16" i="6"/>
  <c r="AB16" i="6" s="1"/>
  <c r="AA15" i="6"/>
  <c r="AB15" i="6" s="1"/>
  <c r="AA14" i="6"/>
  <c r="AB14" i="6" s="1"/>
  <c r="AA13" i="6"/>
  <c r="AB13" i="6" s="1"/>
  <c r="AA12" i="6"/>
  <c r="AB12" i="6" s="1"/>
  <c r="AA11" i="6"/>
  <c r="AB11" i="6" s="1"/>
  <c r="AA51" i="6"/>
  <c r="AB51" i="6" s="1"/>
  <c r="AA50" i="6"/>
  <c r="AB50" i="6" s="1"/>
  <c r="AA49" i="6"/>
  <c r="AB49" i="6" s="1"/>
  <c r="AA41" i="6"/>
  <c r="AB41" i="6" s="1"/>
  <c r="AA40" i="6"/>
  <c r="AB40" i="6" s="1"/>
  <c r="AA39" i="6"/>
  <c r="AB39" i="6" s="1"/>
  <c r="AA38" i="6"/>
  <c r="AB38" i="6" s="1"/>
  <c r="AA37" i="6"/>
  <c r="AB37" i="6" s="1"/>
  <c r="AA36" i="6"/>
  <c r="AB36" i="6" s="1"/>
  <c r="AA35" i="6"/>
  <c r="AB35" i="6" s="1"/>
  <c r="AA32" i="6"/>
  <c r="AB32" i="6" s="1"/>
  <c r="AA31" i="6"/>
  <c r="AB31" i="6" s="1"/>
  <c r="AA26" i="6"/>
  <c r="AB26" i="6" s="1"/>
  <c r="AA25" i="6"/>
  <c r="AB25" i="6" s="1"/>
  <c r="AA21" i="6"/>
  <c r="AB21" i="6" s="1"/>
  <c r="AA10" i="6"/>
  <c r="AB10" i="6" s="1"/>
  <c r="AA9" i="6"/>
  <c r="AB9" i="6" s="1"/>
  <c r="AA8" i="6"/>
  <c r="AB8" i="6" s="1"/>
  <c r="AA7" i="6"/>
  <c r="AB7" i="6" s="1"/>
  <c r="AD58" i="6"/>
  <c r="AE58" i="6" s="1"/>
  <c r="AD57" i="6"/>
  <c r="AE57" i="6" s="1"/>
  <c r="AD56" i="6"/>
  <c r="AE56" i="6" s="1"/>
  <c r="AD55" i="6"/>
  <c r="AE55" i="6" s="1"/>
  <c r="AD54" i="6"/>
  <c r="AE54" i="6" s="1"/>
  <c r="AD53" i="6"/>
  <c r="AE53" i="6" s="1"/>
  <c r="AD52" i="6"/>
  <c r="AE52" i="6" s="1"/>
  <c r="AD48" i="6"/>
  <c r="AE48" i="6" s="1"/>
  <c r="AD47" i="6"/>
  <c r="AE47" i="6" s="1"/>
  <c r="AD46" i="6"/>
  <c r="AE46" i="6" s="1"/>
  <c r="AD45" i="6"/>
  <c r="AE45" i="6" s="1"/>
  <c r="AD44" i="6"/>
  <c r="AE44" i="6" s="1"/>
  <c r="AD43" i="6"/>
  <c r="AE43" i="6" s="1"/>
  <c r="AD42" i="6"/>
  <c r="AE42" i="6" s="1"/>
  <c r="AD34" i="6"/>
  <c r="AE34" i="6" s="1"/>
  <c r="AD33" i="6"/>
  <c r="AE33" i="6" s="1"/>
  <c r="AD30" i="6"/>
  <c r="AE30" i="6" s="1"/>
  <c r="AD29" i="6"/>
  <c r="AE29" i="6" s="1"/>
  <c r="AD28" i="6"/>
  <c r="AE28" i="6" s="1"/>
  <c r="AD27" i="6"/>
  <c r="AE27" i="6" s="1"/>
  <c r="AD24" i="6"/>
  <c r="AD23" i="6"/>
  <c r="AE23" i="6" s="1"/>
  <c r="AD22" i="6"/>
  <c r="AE22" i="6" s="1"/>
  <c r="AD20" i="6"/>
  <c r="AE20" i="6" s="1"/>
  <c r="AD19" i="6"/>
  <c r="AE19" i="6" s="1"/>
  <c r="AD18" i="6"/>
  <c r="AE18" i="6" s="1"/>
  <c r="AD17" i="6"/>
  <c r="AE17" i="6" s="1"/>
  <c r="AD16" i="6"/>
  <c r="AE16" i="6" s="1"/>
  <c r="AD15" i="6"/>
  <c r="AE15" i="6" s="1"/>
  <c r="AD14" i="6"/>
  <c r="AE14" i="6" s="1"/>
  <c r="AD13" i="6"/>
  <c r="AE13" i="6" s="1"/>
  <c r="AD12" i="6"/>
  <c r="AE12" i="6" s="1"/>
  <c r="AD11" i="6"/>
  <c r="AE11" i="6" s="1"/>
  <c r="AD51" i="6"/>
  <c r="AE51" i="6" s="1"/>
  <c r="AD50" i="6"/>
  <c r="AE50" i="6" s="1"/>
  <c r="AD49" i="6"/>
  <c r="AE49" i="6" s="1"/>
  <c r="AD41" i="6"/>
  <c r="AE41" i="6" s="1"/>
  <c r="AD40" i="6"/>
  <c r="AE40" i="6" s="1"/>
  <c r="AD39" i="6"/>
  <c r="AE39" i="6" s="1"/>
  <c r="AD38" i="6"/>
  <c r="AE38" i="6" s="1"/>
  <c r="AD37" i="6"/>
  <c r="AE37" i="6" s="1"/>
  <c r="AD36" i="6"/>
  <c r="AE36" i="6" s="1"/>
  <c r="AD35" i="6"/>
  <c r="AE35" i="6" s="1"/>
  <c r="AD32" i="6"/>
  <c r="AE32" i="6" s="1"/>
  <c r="AD31" i="6"/>
  <c r="AE31" i="6" s="1"/>
  <c r="AD26" i="6"/>
  <c r="AE26" i="6" s="1"/>
  <c r="AD21" i="6"/>
  <c r="AE21" i="6" s="1"/>
  <c r="AD25" i="6"/>
  <c r="AE25" i="6" s="1"/>
  <c r="AD10" i="6"/>
  <c r="AE10" i="6" s="1"/>
  <c r="AD9" i="6"/>
  <c r="AE9" i="6" s="1"/>
  <c r="AD8" i="6"/>
  <c r="AE8" i="6" s="1"/>
  <c r="AD7" i="6"/>
  <c r="AE7" i="6" s="1"/>
  <c r="AD59" i="6"/>
  <c r="AD60" i="6"/>
  <c r="AG60" i="6"/>
  <c r="AG59" i="6"/>
  <c r="AH59" i="6" s="1"/>
  <c r="AG58" i="6"/>
  <c r="AH58" i="6" s="1"/>
  <c r="AG57" i="6"/>
  <c r="AH57" i="6" s="1"/>
  <c r="AG56" i="6"/>
  <c r="AH56" i="6" s="1"/>
  <c r="AG55" i="6"/>
  <c r="AH55" i="6" s="1"/>
  <c r="AG54" i="6"/>
  <c r="AH54" i="6" s="1"/>
  <c r="AG53" i="6"/>
  <c r="AH53" i="6" s="1"/>
  <c r="AG52" i="6"/>
  <c r="AH52" i="6" s="1"/>
  <c r="AG48" i="6"/>
  <c r="AH48" i="6" s="1"/>
  <c r="AG47" i="6"/>
  <c r="AH47" i="6" s="1"/>
  <c r="AG46" i="6"/>
  <c r="AH46" i="6" s="1"/>
  <c r="AG45" i="6"/>
  <c r="AH45" i="6" s="1"/>
  <c r="AG44" i="6"/>
  <c r="AH44" i="6" s="1"/>
  <c r="AG43" i="6"/>
  <c r="AH43" i="6" s="1"/>
  <c r="AG42" i="6"/>
  <c r="AH42" i="6" s="1"/>
  <c r="AG34" i="6"/>
  <c r="AH34" i="6" s="1"/>
  <c r="AG33" i="6"/>
  <c r="AH33" i="6" s="1"/>
  <c r="AG30" i="6"/>
  <c r="AH30" i="6" s="1"/>
  <c r="AG29" i="6"/>
  <c r="AH29" i="6" s="1"/>
  <c r="AG28" i="6"/>
  <c r="AH28" i="6" s="1"/>
  <c r="AG27" i="6"/>
  <c r="AH27" i="6" s="1"/>
  <c r="AG24" i="6"/>
  <c r="AH24" i="6" s="1"/>
  <c r="AG23" i="6"/>
  <c r="AH23" i="6" s="1"/>
  <c r="AG22" i="6"/>
  <c r="AH22" i="6" s="1"/>
  <c r="AG20" i="6"/>
  <c r="AH20" i="6" s="1"/>
  <c r="AG19" i="6"/>
  <c r="AH19" i="6" s="1"/>
  <c r="AG18" i="6"/>
  <c r="AH18" i="6" s="1"/>
  <c r="AG17" i="6"/>
  <c r="AH17" i="6" s="1"/>
  <c r="AG16" i="6"/>
  <c r="AH16" i="6" s="1"/>
  <c r="AG15" i="6"/>
  <c r="AH15" i="6" s="1"/>
  <c r="AG14" i="6"/>
  <c r="AH14" i="6" s="1"/>
  <c r="AG13" i="6"/>
  <c r="AH13" i="6" s="1"/>
  <c r="AG12" i="6"/>
  <c r="AH12" i="6" s="1"/>
  <c r="AG11" i="6"/>
  <c r="AH11" i="6" s="1"/>
  <c r="AG51" i="6"/>
  <c r="AH51" i="6" s="1"/>
  <c r="AG50" i="6"/>
  <c r="AH50" i="6" s="1"/>
  <c r="AG49" i="6"/>
  <c r="AH49" i="6" s="1"/>
  <c r="AG41" i="6"/>
  <c r="AH41" i="6" s="1"/>
  <c r="AG40" i="6"/>
  <c r="AH40" i="6" s="1"/>
  <c r="AG39" i="6"/>
  <c r="AH39" i="6" s="1"/>
  <c r="AG38" i="6"/>
  <c r="AH38" i="6" s="1"/>
  <c r="AG37" i="6"/>
  <c r="AH37" i="6" s="1"/>
  <c r="AG35" i="6"/>
  <c r="AH35" i="6" s="1"/>
  <c r="AG36" i="6"/>
  <c r="AH36" i="6" s="1"/>
  <c r="AG32" i="6"/>
  <c r="AH32" i="6" s="1"/>
  <c r="AG31" i="6"/>
  <c r="AH31" i="6" s="1"/>
  <c r="AG26" i="6"/>
  <c r="AH26" i="6" s="1"/>
  <c r="AG25" i="6"/>
  <c r="AH25" i="6" s="1"/>
  <c r="AG21" i="6"/>
  <c r="AH21" i="6" s="1"/>
  <c r="AG10" i="6"/>
  <c r="AH10" i="6" s="1"/>
  <c r="AG9" i="6"/>
  <c r="AH9" i="6" s="1"/>
  <c r="AG8" i="6"/>
  <c r="AH8" i="6" s="1"/>
  <c r="AG7" i="6"/>
  <c r="AH7" i="6" s="1"/>
  <c r="Q60" i="6"/>
  <c r="P60" i="6"/>
  <c r="P59" i="6"/>
  <c r="Q30" i="6"/>
  <c r="Q29" i="6"/>
  <c r="Q24" i="6"/>
  <c r="Q12" i="6"/>
  <c r="Q50" i="6"/>
  <c r="Q31" i="6"/>
  <c r="Q21" i="6"/>
  <c r="Q9" i="6"/>
  <c r="Q8" i="6"/>
  <c r="N59" i="6"/>
  <c r="N58" i="6"/>
  <c r="N57" i="6"/>
  <c r="N56" i="6"/>
  <c r="N55" i="6"/>
  <c r="N54" i="6"/>
  <c r="N53" i="6"/>
  <c r="N52" i="6"/>
  <c r="N48" i="6"/>
  <c r="N47" i="6"/>
  <c r="N46" i="6"/>
  <c r="N45" i="6"/>
  <c r="N44" i="6"/>
  <c r="N43" i="6"/>
  <c r="N42" i="6"/>
  <c r="N34" i="6"/>
  <c r="N33" i="6"/>
  <c r="N30" i="6"/>
  <c r="N29" i="6"/>
  <c r="N28" i="6"/>
  <c r="N27" i="6"/>
  <c r="N24" i="6"/>
  <c r="N23" i="6"/>
  <c r="N22" i="6"/>
  <c r="N20" i="6"/>
  <c r="N19" i="6"/>
  <c r="N18" i="6"/>
  <c r="N17" i="6"/>
  <c r="N16" i="6"/>
  <c r="N15" i="6"/>
  <c r="N14" i="6"/>
  <c r="N13" i="6"/>
  <c r="N12" i="6"/>
  <c r="N11" i="6"/>
  <c r="N51" i="6"/>
  <c r="N50" i="6"/>
  <c r="N49" i="6"/>
  <c r="N41" i="6"/>
  <c r="N40" i="6"/>
  <c r="N39" i="6"/>
  <c r="N38" i="6"/>
  <c r="N37" i="6"/>
  <c r="N36" i="6"/>
  <c r="N35" i="6"/>
  <c r="N32" i="6"/>
  <c r="N31" i="6"/>
  <c r="N26" i="6"/>
  <c r="N25" i="6"/>
  <c r="N21" i="6"/>
  <c r="N10" i="6"/>
  <c r="N9" i="6"/>
  <c r="N8" i="6"/>
  <c r="N7" i="6"/>
  <c r="N60" i="6"/>
  <c r="K60" i="6"/>
  <c r="K59" i="6"/>
  <c r="K51" i="6"/>
  <c r="K50" i="6"/>
  <c r="K49" i="6"/>
  <c r="K41" i="6"/>
  <c r="K40" i="6"/>
  <c r="K39" i="6"/>
  <c r="K38" i="6"/>
  <c r="K37" i="6"/>
  <c r="K36" i="6"/>
  <c r="K35" i="6"/>
  <c r="K32" i="6"/>
  <c r="K31" i="6"/>
  <c r="K26" i="6"/>
  <c r="K25" i="6"/>
  <c r="K21" i="6"/>
  <c r="K58" i="6"/>
  <c r="K57" i="6"/>
  <c r="K56" i="6"/>
  <c r="K55" i="6"/>
  <c r="K54" i="6"/>
  <c r="K53" i="6"/>
  <c r="K52" i="6"/>
  <c r="K48" i="6"/>
  <c r="K47" i="6"/>
  <c r="K46" i="6"/>
  <c r="K45" i="6"/>
  <c r="K44" i="6"/>
  <c r="K43" i="6"/>
  <c r="K42" i="6"/>
  <c r="K34" i="6"/>
  <c r="K33" i="6"/>
  <c r="K30" i="6"/>
  <c r="K29" i="6"/>
  <c r="K28" i="6"/>
  <c r="K27" i="6"/>
  <c r="K23" i="6"/>
  <c r="K22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H60" i="6"/>
  <c r="H59" i="6"/>
  <c r="H16" i="6"/>
  <c r="H17" i="6"/>
  <c r="H18" i="6"/>
  <c r="H19" i="6"/>
  <c r="H20" i="6"/>
  <c r="H21" i="6"/>
  <c r="H22" i="6"/>
  <c r="H23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9" i="6"/>
  <c r="H10" i="6"/>
  <c r="H11" i="6"/>
  <c r="H12" i="6"/>
  <c r="H13" i="6"/>
  <c r="H14" i="6"/>
  <c r="H15" i="6"/>
  <c r="H7" i="6"/>
  <c r="J21" i="6"/>
  <c r="I8" i="6"/>
  <c r="J8" i="6" s="1"/>
  <c r="J7" i="6"/>
  <c r="R7" i="6"/>
  <c r="Q7" i="6" s="1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8" i="6"/>
  <c r="J17" i="6"/>
  <c r="J16" i="6"/>
  <c r="J15" i="6"/>
  <c r="J14" i="6"/>
  <c r="J13" i="6"/>
  <c r="J12" i="6"/>
  <c r="J11" i="6"/>
  <c r="J10" i="6"/>
  <c r="J9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H8" i="6" l="1"/>
  <c r="P9" i="6"/>
  <c r="P30" i="6"/>
  <c r="P34" i="6" l="1"/>
  <c r="P35" i="6"/>
  <c r="P36" i="6"/>
  <c r="P42" i="6"/>
  <c r="P43" i="6"/>
  <c r="P44" i="6"/>
  <c r="P50" i="6"/>
  <c r="P51" i="6"/>
  <c r="P57" i="6"/>
  <c r="P58" i="6"/>
  <c r="P8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5" i="6"/>
  <c r="P31" i="6"/>
  <c r="P27" i="6"/>
  <c r="P28" i="6"/>
  <c r="P29" i="6"/>
  <c r="P26" i="6"/>
  <c r="P32" i="6"/>
  <c r="P33" i="6"/>
  <c r="P37" i="6"/>
  <c r="P38" i="6"/>
  <c r="P39" i="6"/>
  <c r="P40" i="6"/>
  <c r="P41" i="6"/>
  <c r="P45" i="6"/>
  <c r="P46" i="6"/>
  <c r="P47" i="6"/>
  <c r="P48" i="6"/>
  <c r="P49" i="6"/>
  <c r="P52" i="6"/>
  <c r="P53" i="6"/>
  <c r="P54" i="6"/>
  <c r="P55" i="6"/>
  <c r="P56" i="6"/>
  <c r="P7" i="6"/>
  <c r="Y60" i="6"/>
  <c r="R59" i="6"/>
  <c r="Q59" i="6" s="1"/>
  <c r="S60" i="6"/>
  <c r="R56" i="6"/>
  <c r="Q56" i="6" s="1"/>
  <c r="S59" i="6" l="1"/>
  <c r="V59" i="6"/>
  <c r="Y59" i="6" s="1"/>
  <c r="AB59" i="6" s="1"/>
  <c r="AE59" i="6" s="1"/>
  <c r="AB60" i="6"/>
  <c r="AE60" i="6" s="1"/>
  <c r="AH60" i="6" s="1"/>
  <c r="R58" i="6"/>
  <c r="Q58" i="6" s="1"/>
  <c r="R57" i="6"/>
  <c r="Q57" i="6" s="1"/>
  <c r="R55" i="6"/>
  <c r="Q55" i="6" s="1"/>
  <c r="R54" i="6"/>
  <c r="Q54" i="6" s="1"/>
  <c r="R53" i="6"/>
  <c r="Q53" i="6" s="1"/>
  <c r="R52" i="6"/>
  <c r="Q52" i="6" s="1"/>
  <c r="R51" i="6"/>
  <c r="Q51" i="6" s="1"/>
  <c r="R49" i="6"/>
  <c r="Q49" i="6" s="1"/>
  <c r="R47" i="6"/>
  <c r="Q47" i="6" s="1"/>
  <c r="R48" i="6"/>
  <c r="Q48" i="6" s="1"/>
  <c r="R46" i="6"/>
  <c r="Q46" i="6" s="1"/>
  <c r="R45" i="6"/>
  <c r="Q45" i="6" s="1"/>
  <c r="R44" i="6"/>
  <c r="Q44" i="6" s="1"/>
  <c r="R43" i="6"/>
  <c r="Q43" i="6" s="1"/>
  <c r="R42" i="6"/>
  <c r="Q42" i="6" s="1"/>
  <c r="R41" i="6"/>
  <c r="Q41" i="6" s="1"/>
  <c r="R40" i="6"/>
  <c r="Q40" i="6" s="1"/>
  <c r="R39" i="6"/>
  <c r="Q39" i="6" s="1"/>
  <c r="R38" i="6"/>
  <c r="Q38" i="6" s="1"/>
  <c r="R37" i="6"/>
  <c r="Q37" i="6" s="1"/>
  <c r="R36" i="6"/>
  <c r="Q36" i="6" s="1"/>
  <c r="R35" i="6"/>
  <c r="Q35" i="6" s="1"/>
  <c r="R34" i="6"/>
  <c r="Q34" i="6" s="1"/>
  <c r="R33" i="6"/>
  <c r="Q33" i="6" s="1"/>
  <c r="R32" i="6"/>
  <c r="Q32" i="6" s="1"/>
  <c r="R26" i="6"/>
  <c r="Q26" i="6" s="1"/>
  <c r="R28" i="6"/>
  <c r="Q28" i="6" s="1"/>
  <c r="R27" i="6"/>
  <c r="Q27" i="6" s="1"/>
  <c r="R25" i="6"/>
  <c r="Q25" i="6" s="1"/>
  <c r="R23" i="6"/>
  <c r="Q23" i="6" s="1"/>
  <c r="R22" i="6"/>
  <c r="Q22" i="6" s="1"/>
  <c r="R20" i="6"/>
  <c r="Q20" i="6" s="1"/>
  <c r="R19" i="6"/>
  <c r="Q19" i="6" s="1"/>
  <c r="R18" i="6"/>
  <c r="Q18" i="6" s="1"/>
  <c r="R17" i="6"/>
  <c r="Q17" i="6" s="1"/>
  <c r="R16" i="6"/>
  <c r="Q16" i="6" s="1"/>
  <c r="R15" i="6"/>
  <c r="Q15" i="6" s="1"/>
  <c r="R14" i="6"/>
  <c r="Q14" i="6" s="1"/>
  <c r="R13" i="6"/>
  <c r="Q13" i="6" s="1"/>
  <c r="R11" i="6"/>
  <c r="Q11" i="6" s="1"/>
  <c r="R10" i="6"/>
  <c r="Q10" i="6" s="1"/>
  <c r="S58" i="6" l="1"/>
  <c r="S57" i="6"/>
  <c r="S56" i="6"/>
  <c r="S55" i="6"/>
  <c r="S54" i="6"/>
  <c r="S53" i="6"/>
  <c r="S52" i="6"/>
  <c r="S48" i="6"/>
  <c r="S47" i="6"/>
  <c r="S46" i="6"/>
  <c r="S45" i="6"/>
  <c r="S44" i="6"/>
  <c r="S43" i="6"/>
  <c r="S42" i="6"/>
  <c r="S34" i="6"/>
  <c r="S33" i="6"/>
  <c r="S29" i="6"/>
  <c r="S28" i="6"/>
  <c r="S27" i="6"/>
  <c r="S23" i="6"/>
  <c r="S22" i="6"/>
  <c r="S20" i="6"/>
  <c r="S19" i="6"/>
  <c r="S18" i="6"/>
  <c r="S17" i="6"/>
  <c r="S16" i="6"/>
  <c r="S15" i="6"/>
  <c r="S14" i="6"/>
  <c r="S13" i="6"/>
  <c r="S12" i="6"/>
  <c r="S11" i="6"/>
  <c r="S7" i="6"/>
  <c r="S51" i="6"/>
  <c r="S50" i="6"/>
  <c r="S49" i="6"/>
  <c r="S41" i="6"/>
  <c r="S40" i="6"/>
  <c r="S39" i="6"/>
  <c r="S38" i="6"/>
  <c r="S37" i="6"/>
  <c r="S36" i="6"/>
  <c r="S35" i="6"/>
  <c r="S32" i="6"/>
  <c r="S26" i="6"/>
  <c r="S31" i="6"/>
  <c r="S25" i="6"/>
  <c r="S21" i="6"/>
  <c r="S10" i="6"/>
  <c r="S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Estimations-matched-2021_09_24-priced-US-2021_09_24-priced-Europe-2021_09_24" description="Connection to the 'Estimations-matched-2021_09_24-priced-US-2021_09_24-priced-Europe-2021_09_24' query in the workbook." type="5" refreshedVersion="6" background="1" saveData="1">
    <dbPr connection="Provider=Microsoft.Mashup.OleDb.1;Data Source=$Workbook$;Location=Estimations-matched-2021_09_24-priced-US-2021_09_24-priced-Europe-2021_09_24;Extended Properties=&quot;&quot;" command="SELECT * FROM [Estimations-matched-2021_09_24-priced-US-2021_09_24-priced-Europe-2021_09_24]"/>
  </connection>
</connections>
</file>

<file path=xl/sharedStrings.xml><?xml version="1.0" encoding="utf-8"?>
<sst xmlns="http://schemas.openxmlformats.org/spreadsheetml/2006/main" count="197" uniqueCount="69">
  <si>
    <t>Grand Cru</t>
  </si>
  <si>
    <t>Premier Cru</t>
  </si>
  <si>
    <t>Per Bottle</t>
  </si>
  <si>
    <t>Village</t>
  </si>
  <si>
    <t>Cuvée</t>
  </si>
  <si>
    <t>Red</t>
  </si>
  <si>
    <t>White</t>
  </si>
  <si>
    <t>Beaune Blanc Premier Cru, Cuvée Suzanne et Raymond</t>
  </si>
  <si>
    <t>Beaune Premier Cru Les Grèves, Cuvée Pierre Floquet</t>
  </si>
  <si>
    <t>Beaune Premier Cru, Cuvée Brunet</t>
  </si>
  <si>
    <t>Beaune Premier Cru, Cuvée Clos des Avaux</t>
  </si>
  <si>
    <t>Beaune Premier Cru, Cuvée des Dames Hospitalières</t>
  </si>
  <si>
    <t>Beaune Premier Cru, Cuvée Guigone de Salins</t>
  </si>
  <si>
    <t>Beaune Premier Cru, Cuvée Hugues et Louis Bétault</t>
  </si>
  <si>
    <t>Beaune Premier Cru, Cuvée Maurice Drouhin</t>
  </si>
  <si>
    <t>Beaune Premier Cru, Cuvée Nicolas Rolin</t>
  </si>
  <si>
    <t>Beaune Premier Cru, Cuvée Rousseau Deslandes</t>
  </si>
  <si>
    <t>Clos de La Roche Grand Cru, Cuvée Georges Kritter</t>
  </si>
  <si>
    <t>Corton Blanc Grand Cru, Cuvée Docteur Peste</t>
  </si>
  <si>
    <t>Corton Charlemagne Grand Cru, Cuvée Roi Soleil</t>
  </si>
  <si>
    <t>Corton Grand Cru Clos du Roi, Cuvée Baronne du Baÿ</t>
  </si>
  <si>
    <t>Corton Grand Cru, Cuvée Docteur Peste</t>
  </si>
  <si>
    <t>Meursault Premier Cru Les Charmes, Cuvée Albert Grivault</t>
  </si>
  <si>
    <t>Meursault Premier Cru Les Charmes, Cuvée de Bahèzre de Lanlay</t>
  </si>
  <si>
    <t>Meursault Premier Cru Les Genevrières, Cuvée Baudot</t>
  </si>
  <si>
    <t>Meursault Premier Cru Les Genevrières, Cuvée Philippe Le Bon</t>
  </si>
  <si>
    <t>Meursault Premier Cru Les Porusots, Cuvée Jehan Humblot</t>
  </si>
  <si>
    <t>Meursault, Cuvée Goureau</t>
  </si>
  <si>
    <t>Meursault, Cuvée Loppin</t>
  </si>
  <si>
    <t>Monthélie Les Duresses, Cuvée Lebelin</t>
  </si>
  <si>
    <t>Pommard Premier Cru Les Epenots, Cuvée Dom Goblet</t>
  </si>
  <si>
    <t>Pommard Premier Cru, Cuvée Dames de la Charité</t>
  </si>
  <si>
    <t>Pommard, Cuvée Raymond Cyrot</t>
  </si>
  <si>
    <t>Pommard, Cuvée Suzanne Chaudron</t>
  </si>
  <si>
    <t>Volnay Premier Cru Les Santenots, Cuvée Gauvain</t>
  </si>
  <si>
    <t>Volnay Premier Cru Les Santenots, Cuvée Jéhan de Massol</t>
  </si>
  <si>
    <t>Volnay Premier Cru, Cuvée Blondeau</t>
  </si>
  <si>
    <t>Volnay Premier Cru, Cuvée Général Muteau</t>
  </si>
  <si>
    <t>Pommard, Cuvée Billardet</t>
  </si>
  <si>
    <t>Auxey Duresses Premier Cru Les Duresses, Cuvée Boillot</t>
  </si>
  <si>
    <t>Bâtard Montrachet Grand Cru, Cuvée Dames de Flandres</t>
  </si>
  <si>
    <t>Beaune Premier Cru Les Montrevenots, Cuvée Cyrot Chaudron</t>
  </si>
  <si>
    <t>Corton Charlemagne Grand Cru, Cuvée François de Salins</t>
  </si>
  <si>
    <t>Corton Vergennes Grand Cru, Cuvée Paul Chanson</t>
  </si>
  <si>
    <t>Échezeaux Grand Cru, Cuvée Jean Luc Bissey</t>
  </si>
  <si>
    <t>Mazis Chambertin Grand Cru, Cuvée Madeleine Collignon</t>
  </si>
  <si>
    <t>Pernand Vergelesses Premier Cru Les Vergelesses, Cuvée Rameau Lamarosse</t>
  </si>
  <si>
    <t>Pouilly Fuissé, Cuvée Françoise Poisard</t>
  </si>
  <si>
    <t>Puligny Montrachet, Cuvée Bernard Clerc</t>
  </si>
  <si>
    <t>Saint Romain, Cuvée Joseph Menault</t>
  </si>
  <si>
    <t>Savigny lès Beaune Premier Cru Les Vergelesses, Cuvée Forneret</t>
  </si>
  <si>
    <t>Savigny lès Beaune Premier Cru, Cuvée Arthur Girard</t>
  </si>
  <si>
    <t>Savigny lès Beaune Premier Cru, Cuvée Fouquerand</t>
  </si>
  <si>
    <t>Alcohol</t>
  </si>
  <si>
    <t>Fine de Bourgogne</t>
  </si>
  <si>
    <t>Eaux-de-Vie Marc de Bourgogne</t>
  </si>
  <si>
    <t>/</t>
  </si>
  <si>
    <t>Beaune Blanc Premier Cru Clos des Mouches, Cuvée Hugues et Louis Bétault</t>
  </si>
  <si>
    <t>Level</t>
  </si>
  <si>
    <t>Style</t>
  </si>
  <si>
    <t>Chablis Premier Cru Côte de Léchet, Cuvée Jean Marc Brocard*</t>
  </si>
  <si>
    <t>*In 2024, only one feuillette (half-barrel) of Chablis Premier Cru Côte de Léchet, Cuvée Jean Marc Brocard was sold. The indicated price is adjusted to a 228l barrel.</t>
  </si>
  <si>
    <t>Hammer price</t>
  </si>
  <si>
    <t>Aggregate</t>
  </si>
  <si>
    <t>Average Hammer price and Aggregate price (hammer price + Buyer’s Premium), ex-VAT</t>
  </si>
  <si>
    <t>Clos de La Roche Grand Cru, Cuvée Cyrot Chaudron</t>
  </si>
  <si>
    <t>Clos de Vougeot Grand Cru, Cuvée François Faiveley</t>
  </si>
  <si>
    <t>Corton Grand Cru Les Bressandes, Cuvée Charlotte Dumay</t>
  </si>
  <si>
    <t>Corton Grand Cru Les Renardes, Cuvée M-T Berthier et J-T Sweeney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</si>
</sst>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9"/>
      <color theme="1"/>
      <name val="Arial"/>
      <family val="2"/>
    </font>
    <font>
      <i/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i/>
      <sz val="13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EA"/>
        <bgColor indexed="64"/>
      </patternFill>
    </fill>
    <fill>
      <patternFill patternType="solid">
        <fgColor rgb="FFFFF6E6"/>
        <bgColor indexed="64"/>
      </patternFill>
    </fill>
    <fill>
      <patternFill patternType="solid">
        <fgColor rgb="FFD6C4E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wrapText="1"/>
    </xf>
    <xf numFmtId="0" fontId="23" fillId="33" borderId="23" xfId="0" applyFont="1" applyFill="1" applyBorder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3" fillId="33" borderId="22" xfId="0" applyFont="1" applyFill="1" applyBorder="1" applyAlignment="1">
      <alignment horizontal="center" wrapText="1"/>
    </xf>
    <xf numFmtId="0" fontId="23" fillId="33" borderId="12" xfId="0" applyFont="1" applyFill="1" applyBorder="1" applyAlignment="1">
      <alignment wrapText="1"/>
    </xf>
    <xf numFmtId="0" fontId="23" fillId="34" borderId="14" xfId="0" applyFont="1" applyFill="1" applyBorder="1" applyAlignment="1">
      <alignment wrapText="1"/>
    </xf>
    <xf numFmtId="0" fontId="23" fillId="33" borderId="14" xfId="0" applyFont="1" applyFill="1" applyBorder="1" applyAlignment="1">
      <alignment wrapText="1"/>
    </xf>
    <xf numFmtId="0" fontId="23" fillId="33" borderId="14" xfId="0" applyFont="1" applyFill="1" applyBorder="1"/>
    <xf numFmtId="0" fontId="21" fillId="33" borderId="14" xfId="0" applyFont="1" applyFill="1" applyBorder="1"/>
    <xf numFmtId="0" fontId="23" fillId="35" borderId="23" xfId="0" applyFont="1" applyFill="1" applyBorder="1" applyAlignment="1">
      <alignment horizontal="center" wrapText="1"/>
    </xf>
    <xf numFmtId="0" fontId="23" fillId="35" borderId="0" xfId="0" applyFont="1" applyFill="1" applyAlignment="1">
      <alignment wrapText="1"/>
    </xf>
    <xf numFmtId="0" fontId="23" fillId="35" borderId="24" xfId="0" applyFont="1" applyFill="1" applyBorder="1" applyAlignment="1">
      <alignment horizontal="center" wrapText="1"/>
    </xf>
    <xf numFmtId="0" fontId="23" fillId="35" borderId="21" xfId="0" applyFont="1" applyFill="1" applyBorder="1" applyAlignment="1">
      <alignment wrapText="1"/>
    </xf>
    <xf numFmtId="0" fontId="20" fillId="0" borderId="15" xfId="0" applyFont="1" applyBorder="1" applyAlignment="1">
      <alignment horizontal="center" vertical="center" wrapText="1"/>
    </xf>
    <xf numFmtId="0" fontId="23" fillId="33" borderId="13" xfId="0" applyFont="1" applyFill="1" applyBorder="1" applyAlignment="1">
      <alignment wrapText="1"/>
    </xf>
    <xf numFmtId="0" fontId="23" fillId="34" borderId="13" xfId="0" applyFont="1" applyFill="1" applyBorder="1" applyAlignment="1">
      <alignment horizontal="left" wrapText="1"/>
    </xf>
    <xf numFmtId="0" fontId="23" fillId="35" borderId="13" xfId="0" applyFont="1" applyFill="1" applyBorder="1" applyAlignment="1">
      <alignment horizontal="center" wrapText="1"/>
    </xf>
    <xf numFmtId="0" fontId="23" fillId="35" borderId="15" xfId="0" applyFont="1" applyFill="1" applyBorder="1" applyAlignment="1">
      <alignment horizontal="center" wrapText="1"/>
    </xf>
    <xf numFmtId="0" fontId="23" fillId="33" borderId="11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left" wrapText="1"/>
    </xf>
    <xf numFmtId="0" fontId="22" fillId="36" borderId="0" xfId="0" applyFont="1" applyFill="1" applyBorder="1" applyAlignment="1">
      <alignment horizontal="center" vertical="center" wrapText="1"/>
    </xf>
    <xf numFmtId="0" fontId="22" fillId="36" borderId="0" xfId="0" applyFont="1" applyFill="1" applyAlignment="1">
      <alignment vertical="center" wrapText="1"/>
    </xf>
    <xf numFmtId="0" fontId="21" fillId="36" borderId="13" xfId="0" applyFont="1" applyFill="1" applyBorder="1" applyAlignment="1">
      <alignment horizontal="left" vertical="center"/>
    </xf>
    <xf numFmtId="165" fontId="23" fillId="33" borderId="0" xfId="0" applyNumberFormat="1" applyFont="1" applyFill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165" fontId="23" fillId="33" borderId="0" xfId="42" applyNumberFormat="1" applyFont="1" applyFill="1" applyBorder="1" applyAlignment="1">
      <alignment vertical="center" wrapText="1"/>
    </xf>
    <xf numFmtId="165" fontId="23" fillId="34" borderId="13" xfId="42" applyNumberFormat="1" applyFont="1" applyFill="1" applyBorder="1" applyAlignment="1">
      <alignment vertical="center" wrapText="1"/>
    </xf>
    <xf numFmtId="165" fontId="22" fillId="34" borderId="0" xfId="0" applyNumberFormat="1" applyFont="1" applyFill="1" applyBorder="1" applyAlignment="1">
      <alignment vertical="center" wrapText="1"/>
    </xf>
    <xf numFmtId="165" fontId="26" fillId="34" borderId="14" xfId="0" applyNumberFormat="1" applyFont="1" applyFill="1" applyBorder="1" applyAlignment="1">
      <alignment vertical="center" wrapText="1"/>
    </xf>
    <xf numFmtId="165" fontId="23" fillId="34" borderId="0" xfId="42" applyNumberFormat="1" applyFont="1" applyFill="1" applyBorder="1" applyAlignment="1">
      <alignment vertical="center" wrapText="1"/>
    </xf>
    <xf numFmtId="165" fontId="24" fillId="34" borderId="0" xfId="42" applyNumberFormat="1" applyFont="1" applyFill="1" applyBorder="1" applyAlignment="1">
      <alignment vertical="center" wrapText="1"/>
    </xf>
    <xf numFmtId="165" fontId="22" fillId="34" borderId="0" xfId="42" applyNumberFormat="1" applyFont="1" applyFill="1" applyBorder="1" applyAlignment="1">
      <alignment vertical="center" wrapText="1"/>
    </xf>
    <xf numFmtId="165" fontId="24" fillId="34" borderId="14" xfId="42" applyNumberFormat="1" applyFont="1" applyFill="1" applyBorder="1" applyAlignment="1">
      <alignment vertical="center" wrapText="1"/>
    </xf>
    <xf numFmtId="165" fontId="23" fillId="34" borderId="14" xfId="42" applyNumberFormat="1" applyFont="1" applyFill="1" applyBorder="1" applyAlignment="1">
      <alignment vertical="center" wrapText="1"/>
    </xf>
    <xf numFmtId="165" fontId="23" fillId="33" borderId="13" xfId="42" applyNumberFormat="1" applyFont="1" applyFill="1" applyBorder="1" applyAlignment="1">
      <alignment vertical="center" wrapText="1"/>
    </xf>
    <xf numFmtId="165" fontId="26" fillId="33" borderId="14" xfId="0" applyNumberFormat="1" applyFont="1" applyFill="1" applyBorder="1" applyAlignment="1">
      <alignment vertical="center" wrapText="1"/>
    </xf>
    <xf numFmtId="165" fontId="24" fillId="33" borderId="0" xfId="42" applyNumberFormat="1" applyFont="1" applyFill="1" applyBorder="1" applyAlignment="1">
      <alignment vertical="center" wrapText="1"/>
    </xf>
    <xf numFmtId="165" fontId="24" fillId="33" borderId="14" xfId="42" applyNumberFormat="1" applyFont="1" applyFill="1" applyBorder="1" applyAlignment="1">
      <alignment vertical="center" wrapText="1"/>
    </xf>
    <xf numFmtId="165" fontId="23" fillId="33" borderId="14" xfId="42" applyNumberFormat="1" applyFont="1" applyFill="1" applyBorder="1" applyAlignment="1">
      <alignment vertical="center" wrapText="1"/>
    </xf>
    <xf numFmtId="165" fontId="23" fillId="35" borderId="13" xfId="42" applyNumberFormat="1" applyFont="1" applyFill="1" applyBorder="1" applyAlignment="1">
      <alignment vertical="center" wrapText="1"/>
    </xf>
    <xf numFmtId="165" fontId="23" fillId="35" borderId="0" xfId="42" applyNumberFormat="1" applyFont="1" applyFill="1" applyBorder="1" applyAlignment="1">
      <alignment vertical="center" wrapText="1"/>
    </xf>
    <xf numFmtId="165" fontId="24" fillId="35" borderId="14" xfId="0" applyNumberFormat="1" applyFont="1" applyFill="1" applyBorder="1" applyAlignment="1">
      <alignment vertical="center" wrapText="1"/>
    </xf>
    <xf numFmtId="165" fontId="23" fillId="35" borderId="14" xfId="0" applyNumberFormat="1" applyFont="1" applyFill="1" applyBorder="1" applyAlignment="1">
      <alignment vertical="center" wrapText="1"/>
    </xf>
    <xf numFmtId="165" fontId="24" fillId="35" borderId="14" xfId="42" applyNumberFormat="1" applyFont="1" applyFill="1" applyBorder="1" applyAlignment="1">
      <alignment vertical="center" wrapText="1"/>
    </xf>
    <xf numFmtId="165" fontId="24" fillId="35" borderId="0" xfId="42" applyNumberFormat="1" applyFont="1" applyFill="1" applyBorder="1" applyAlignment="1">
      <alignment vertical="center" wrapText="1"/>
    </xf>
    <xf numFmtId="165" fontId="23" fillId="35" borderId="15" xfId="42" applyNumberFormat="1" applyFont="1" applyFill="1" applyBorder="1" applyAlignment="1">
      <alignment vertical="center" wrapText="1"/>
    </xf>
    <xf numFmtId="165" fontId="23" fillId="35" borderId="21" xfId="42" applyNumberFormat="1" applyFont="1" applyFill="1" applyBorder="1" applyAlignment="1">
      <alignment vertical="center" wrapText="1"/>
    </xf>
    <xf numFmtId="165" fontId="24" fillId="35" borderId="16" xfId="0" applyNumberFormat="1" applyFont="1" applyFill="1" applyBorder="1" applyAlignment="1">
      <alignment vertical="center" wrapText="1"/>
    </xf>
    <xf numFmtId="165" fontId="23" fillId="35" borderId="16" xfId="0" applyNumberFormat="1" applyFont="1" applyFill="1" applyBorder="1" applyAlignment="1">
      <alignment vertical="center" wrapText="1"/>
    </xf>
    <xf numFmtId="165" fontId="24" fillId="35" borderId="16" xfId="42" applyNumberFormat="1" applyFont="1" applyFill="1" applyBorder="1" applyAlignment="1">
      <alignment vertical="center" wrapText="1"/>
    </xf>
    <xf numFmtId="165" fontId="24" fillId="35" borderId="21" xfId="42" applyNumberFormat="1" applyFont="1" applyFill="1" applyBorder="1" applyAlignment="1">
      <alignment vertical="center" wrapText="1"/>
    </xf>
    <xf numFmtId="0" fontId="29" fillId="36" borderId="17" xfId="0" applyFont="1" applyFill="1" applyBorder="1" applyAlignment="1">
      <alignment horizontal="left" vertical="center" wrapText="1"/>
    </xf>
    <xf numFmtId="0" fontId="14" fillId="36" borderId="18" xfId="0" applyFont="1" applyFill="1" applyBorder="1" applyAlignment="1">
      <alignment horizontal="left" vertical="center" wrapText="1"/>
    </xf>
    <xf numFmtId="0" fontId="22" fillId="36" borderId="0" xfId="0" applyFont="1" applyFill="1" applyBorder="1" applyAlignment="1">
      <alignment horizontal="left" vertical="center" wrapText="1"/>
    </xf>
    <xf numFmtId="0" fontId="22" fillId="36" borderId="0" xfId="0" applyFont="1" applyFill="1" applyBorder="1" applyAlignment="1">
      <alignment horizontal="center" vertical="center" wrapText="1"/>
    </xf>
    <xf numFmtId="0" fontId="22" fillId="36" borderId="0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left" vertical="center" wrapText="1"/>
    </xf>
    <xf numFmtId="0" fontId="31" fillId="36" borderId="20" xfId="0" applyFont="1" applyFill="1" applyBorder="1" applyAlignment="1">
      <alignment horizontal="center" vertical="center" wrapText="1"/>
    </xf>
    <xf numFmtId="0" fontId="32" fillId="37" borderId="20" xfId="0" applyFont="1" applyFill="1" applyBorder="1" applyAlignment="1">
      <alignment horizontal="center" vertical="center" wrapText="1"/>
    </xf>
    <xf numFmtId="0" fontId="32" fillId="37" borderId="12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left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165" fontId="24" fillId="33" borderId="14" xfId="0" applyNumberFormat="1" applyFont="1" applyFill="1" applyBorder="1" applyAlignment="1">
      <alignment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F2EA"/>
      <color rgb="FFFFF6E6"/>
      <color rgb="FFFDF8EC"/>
      <color rgb="FFCCCCFF"/>
      <color rgb="FFD6C4EE"/>
      <color rgb="FF660066"/>
      <color rgb="FFB8ECAC"/>
      <color rgb="FFFF7174"/>
      <color rgb="FF26BC1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2397760</xdr:colOff>
      <xdr:row>0</xdr:row>
      <xdr:rowOff>175987</xdr:rowOff>
    </xdr:from>
    <xdr:to>
      <xdr:col>2</xdr:col>
      <xdr:colOff>6553200</xdr:colOff>
      <xdr:row>2</xdr:row>
      <xdr:rowOff>162560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9C38A03-4B58-BD4B-A739-689472183F26}"/>
            </a:ext>
          </a:extLst>
        </xdr:cNvPr>
        <xdr:cNvSpPr/>
      </xdr:nvSpPr>
      <xdr:spPr>
        <a:xfrm>
          <a:off x="3627120" y="175987"/>
          <a:ext cx="4155440" cy="961933"/>
        </a:xfrm>
        <a:prstGeom prst="rect">
          <a:avLst/>
        </a:prstGeom>
        <a:solidFill>
          <a:srgbClr val="E5EE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274320</xdr:colOff>
      <xdr:row>1</xdr:row>
      <xdr:rowOff>114300</xdr:rowOff>
    </xdr:from>
    <xdr:to>
      <xdr:col>2</xdr:col>
      <xdr:colOff>2115609</xdr:colOff>
      <xdr:row>1</xdr:row>
      <xdr:rowOff>501662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F84AAE-CF18-8641-92A1-FF66AB5B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" y="480060"/>
          <a:ext cx="2867449" cy="387362"/>
        </a:xfrm>
        <a:prstGeom prst="rect">
          <a:avLst/>
        </a:prstGeom>
      </xdr:spPr>
    </xdr:pic>
    <xdr:clientData/>
  </xdr:twoCellAnchor>
  <xdr:twoCellAnchor>
    <xdr:from>
      <xdr:col>2</xdr:col>
      <xdr:colOff>2397760</xdr:colOff>
      <xdr:row>0</xdr:row>
      <xdr:rowOff>203859</xdr:rowOff>
    </xdr:from>
    <xdr:to>
      <xdr:col>2</xdr:col>
      <xdr:colOff>6309360</xdr:colOff>
      <xdr:row>2</xdr:row>
      <xdr:rowOff>162560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78A694F-187E-0841-AA2A-9E0B3EF5EFA0}"/>
            </a:ext>
          </a:extLst>
        </xdr:cNvPr>
        <xdr:cNvSpPr txBox="1"/>
      </xdr:nvSpPr>
      <xdr:spPr>
        <a:xfrm>
          <a:off x="3627120" y="203859"/>
          <a:ext cx="3911600" cy="934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For further information please contact:</a:t>
          </a:r>
        </a:p>
        <a:p>
          <a:r>
            <a:rPr lang="en-GB" sz="1100" b="1"/>
            <a:t>Celian</a:t>
          </a:r>
          <a:r>
            <a:rPr lang="en-GB" sz="1100" b="1" baseline="0"/>
            <a:t> Ravel d'Estienne</a:t>
          </a:r>
          <a:endParaRPr lang="en-GB" sz="1100" b="1"/>
        </a:p>
        <a:p>
          <a:r>
            <a:rPr lang="en-GB" sz="1100" i="1"/>
            <a:t>Head of Auction</a:t>
          </a:r>
          <a:r>
            <a:rPr lang="en-GB" sz="1100" i="1" baseline="0"/>
            <a:t> Sales, France</a:t>
          </a:r>
          <a:endParaRPr lang="en-GB" sz="1100" i="1"/>
        </a:p>
        <a:p>
          <a:r>
            <a:rPr lang="en-GB" sz="1100"/>
            <a:t>celian.raveldestienne@sothebys.com</a:t>
          </a:r>
        </a:p>
        <a:p>
          <a:r>
            <a:rPr lang="fr-FR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+33</a:t>
          </a:r>
          <a:r>
            <a:rPr lang="fr-FR" sz="11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(0)</a:t>
          </a:r>
          <a:r>
            <a:rPr lang="fr-FR" sz="11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6 16</a:t>
          </a:r>
          <a:r>
            <a:rPr lang="fr-FR" sz="11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52</a:t>
          </a:r>
          <a:r>
            <a:rPr lang="fr-FR" sz="11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69</a:t>
          </a:r>
          <a:r>
            <a:rPr lang="fr-FR" sz="11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84</a:t>
          </a:r>
          <a:endParaRPr lang="en-GB" sz="1100" b="0" u="none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34</xdr:col>
      <xdr:colOff>142874</xdr:colOff>
      <xdr:row>5</xdr:row>
      <xdr:rowOff>174625</xdr:rowOff>
    </xdr:from>
    <xdr:to>
      <xdr:col>45</xdr:col>
      <xdr:colOff>296140</xdr:colOff>
      <xdr:row>45</xdr:row>
      <xdr:rowOff>222289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62B0E6A-FC33-4CF7-8F52-3E1B437976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99" y="2667000"/>
          <a:ext cx="6611217" cy="990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2B03-FD02-AE4A-897E-E864F948E6EE}">
  <dimension ref="B1:AH63"/>
  <sheetViews>
    <sheetView showGridLines="0" tabSelected="1" zoomScale="125" zoomScaleNormal="70" zoomScaleSheetLayoutView="40" workbookViewId="0">
      <pane xSplit="3" ySplit="6" topLeftCell="D38" activePane="bottomRight" state="frozen"/>
      <selection pane="topRight" activeCell="D1" sqref="D1"/>
      <selection pane="bottomLeft" activeCell="A8" sqref="A8"/>
      <selection pane="bottomRight" activeCell="E44" sqref="E44"/>
    </sheetView>
  </sheetViews>
  <sheetFormatPr baseColWidth="10" defaultColWidth="8.6640625" defaultRowHeight="15" x14ac:dyDescent="0.2"/>
  <cols>
    <col min="1" max="1" width="2.6640625" customWidth="1"/>
    <col min="2" max="2" width="13.5" customWidth="1"/>
    <col min="3" max="3" width="89" customWidth="1"/>
    <col min="4" max="4" width="16.6640625" customWidth="1"/>
    <col min="5" max="34" width="14.83203125" customWidth="1"/>
    <col min="46" max="46" width="8.6640625" customWidth="1"/>
  </cols>
  <sheetData>
    <row r="1" spans="2:34" ht="29.25" customHeight="1" x14ac:dyDescent="0.2">
      <c r="AD1" s="29"/>
      <c r="AE1" s="29"/>
      <c r="AF1" s="26"/>
    </row>
    <row r="2" spans="2:34" ht="48.75" customHeight="1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4" s="3" customFormat="1" ht="28.5" customHeight="1" thickBot="1" x14ac:dyDescent="0.25"/>
    <row r="4" spans="2:34" s="3" customFormat="1" ht="20" thickBot="1" x14ac:dyDescent="0.25">
      <c r="B4" s="62" t="s">
        <v>64</v>
      </c>
      <c r="C4" s="63"/>
      <c r="D4" s="67"/>
      <c r="E4" s="68">
        <v>2025</v>
      </c>
      <c r="F4" s="68"/>
      <c r="G4" s="68"/>
      <c r="H4" s="68">
        <v>2024</v>
      </c>
      <c r="I4" s="68"/>
      <c r="J4" s="68"/>
      <c r="K4" s="68">
        <v>2023</v>
      </c>
      <c r="L4" s="68"/>
      <c r="M4" s="68"/>
      <c r="N4" s="68">
        <v>2022</v>
      </c>
      <c r="O4" s="68"/>
      <c r="P4" s="68"/>
      <c r="Q4" s="68">
        <v>2021</v>
      </c>
      <c r="R4" s="68"/>
      <c r="S4" s="68"/>
      <c r="T4" s="68">
        <v>2020</v>
      </c>
      <c r="U4" s="68"/>
      <c r="V4" s="68"/>
      <c r="W4" s="68">
        <v>2019</v>
      </c>
      <c r="X4" s="68"/>
      <c r="Y4" s="68"/>
      <c r="Z4" s="69">
        <v>2018</v>
      </c>
      <c r="AA4" s="69"/>
      <c r="AB4" s="69"/>
      <c r="AC4" s="69">
        <v>2017</v>
      </c>
      <c r="AD4" s="69"/>
      <c r="AE4" s="69"/>
      <c r="AF4" s="69">
        <v>2016</v>
      </c>
      <c r="AG4" s="69"/>
      <c r="AH4" s="70"/>
    </row>
    <row r="5" spans="2:34" s="3" customFormat="1" ht="20" thickBot="1" x14ac:dyDescent="0.25">
      <c r="B5" s="32"/>
      <c r="C5" s="31"/>
      <c r="D5" s="71"/>
      <c r="E5" s="64"/>
      <c r="F5" s="64"/>
      <c r="G5" s="64"/>
      <c r="H5" s="65"/>
      <c r="I5" s="65"/>
      <c r="J5" s="65"/>
      <c r="K5" s="65"/>
      <c r="L5" s="65"/>
      <c r="M5" s="65"/>
      <c r="N5" s="64"/>
      <c r="O5" s="64"/>
      <c r="P5" s="64"/>
      <c r="Q5" s="64"/>
      <c r="R5" s="65"/>
      <c r="S5" s="65"/>
      <c r="T5" s="30"/>
      <c r="U5" s="66"/>
      <c r="V5" s="66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72"/>
    </row>
    <row r="6" spans="2:34" s="2" customFormat="1" ht="41" customHeight="1" thickBot="1" x14ac:dyDescent="0.25">
      <c r="B6" s="5" t="s">
        <v>59</v>
      </c>
      <c r="C6" s="4" t="s">
        <v>4</v>
      </c>
      <c r="D6" s="20" t="s">
        <v>58</v>
      </c>
      <c r="E6" s="34" t="s">
        <v>62</v>
      </c>
      <c r="F6" s="73" t="s">
        <v>63</v>
      </c>
      <c r="G6" s="35" t="s">
        <v>2</v>
      </c>
      <c r="H6" s="34" t="s">
        <v>62</v>
      </c>
      <c r="I6" s="73" t="s">
        <v>63</v>
      </c>
      <c r="J6" s="35" t="s">
        <v>2</v>
      </c>
      <c r="K6" s="34" t="s">
        <v>62</v>
      </c>
      <c r="L6" s="73" t="s">
        <v>63</v>
      </c>
      <c r="M6" s="35" t="s">
        <v>2</v>
      </c>
      <c r="N6" s="34" t="s">
        <v>62</v>
      </c>
      <c r="O6" s="73" t="s">
        <v>63</v>
      </c>
      <c r="P6" s="35" t="s">
        <v>2</v>
      </c>
      <c r="Q6" s="34" t="s">
        <v>62</v>
      </c>
      <c r="R6" s="73" t="s">
        <v>63</v>
      </c>
      <c r="S6" s="35" t="s">
        <v>2</v>
      </c>
      <c r="T6" s="34" t="s">
        <v>62</v>
      </c>
      <c r="U6" s="73" t="s">
        <v>63</v>
      </c>
      <c r="V6" s="35" t="s">
        <v>2</v>
      </c>
      <c r="W6" s="34" t="s">
        <v>62</v>
      </c>
      <c r="X6" s="73" t="s">
        <v>63</v>
      </c>
      <c r="Y6" s="35" t="s">
        <v>2</v>
      </c>
      <c r="Z6" s="34" t="s">
        <v>62</v>
      </c>
      <c r="AA6" s="73" t="s">
        <v>63</v>
      </c>
      <c r="AB6" s="35" t="s">
        <v>2</v>
      </c>
      <c r="AC6" s="34" t="s">
        <v>62</v>
      </c>
      <c r="AD6" s="73" t="s">
        <v>63</v>
      </c>
      <c r="AE6" s="35" t="s">
        <v>2</v>
      </c>
      <c r="AF6" s="34" t="s">
        <v>62</v>
      </c>
      <c r="AG6" s="73" t="s">
        <v>63</v>
      </c>
      <c r="AH6" s="35" t="s">
        <v>2</v>
      </c>
    </row>
    <row r="7" spans="2:34" ht="20" x14ac:dyDescent="0.25">
      <c r="B7" s="10" t="s">
        <v>5</v>
      </c>
      <c r="C7" s="11" t="s">
        <v>39</v>
      </c>
      <c r="D7" s="25" t="s">
        <v>1</v>
      </c>
      <c r="E7" s="45">
        <v>14500</v>
      </c>
      <c r="F7" s="33">
        <f>E7*1.08</f>
        <v>15660.000000000002</v>
      </c>
      <c r="G7" s="74">
        <f>F7/288</f>
        <v>54.375000000000007</v>
      </c>
      <c r="H7" s="36">
        <f>I7/1.08</f>
        <v>12333.333333333332</v>
      </c>
      <c r="I7" s="36">
        <v>13320</v>
      </c>
      <c r="J7" s="74">
        <f t="shared" ref="J7:J39" si="0">I7/288</f>
        <v>46.25</v>
      </c>
      <c r="K7" s="33">
        <f>L7/1.08</f>
        <v>7786.1111111111104</v>
      </c>
      <c r="L7" s="36">
        <v>8409</v>
      </c>
      <c r="M7" s="47">
        <f t="shared" ref="M7:M60" si="1">L7/288</f>
        <v>29.197916666666668</v>
      </c>
      <c r="N7" s="45">
        <f>O7/1.08</f>
        <v>14571.296296296296</v>
      </c>
      <c r="O7" s="36">
        <v>15737</v>
      </c>
      <c r="P7" s="47">
        <f t="shared" ref="P7:P39" si="2">O7/288</f>
        <v>54.642361111111114</v>
      </c>
      <c r="Q7" s="45">
        <f>R7/1.08</f>
        <v>12750</v>
      </c>
      <c r="R7" s="36">
        <f>(14040+13500)/2</f>
        <v>13770</v>
      </c>
      <c r="S7" s="48">
        <f>R7/288</f>
        <v>47.8125</v>
      </c>
      <c r="T7" s="45">
        <v>8700</v>
      </c>
      <c r="U7" s="36">
        <f>T7*1.08</f>
        <v>9396</v>
      </c>
      <c r="V7" s="36">
        <f>U7/288</f>
        <v>32.625</v>
      </c>
      <c r="W7" s="45">
        <v>10640</v>
      </c>
      <c r="X7" s="36">
        <f>W7*1.08</f>
        <v>11491.2</v>
      </c>
      <c r="Y7" s="49">
        <f>X7/288</f>
        <v>39.900000000000006</v>
      </c>
      <c r="Z7" s="45">
        <v>7167</v>
      </c>
      <c r="AA7" s="36">
        <f>Z7*1.08</f>
        <v>7740.3600000000006</v>
      </c>
      <c r="AB7" s="36">
        <f>AA7/288</f>
        <v>26.876250000000002</v>
      </c>
      <c r="AC7" s="45">
        <v>6500</v>
      </c>
      <c r="AD7" s="36">
        <f>AC7*1.08</f>
        <v>7020.0000000000009</v>
      </c>
      <c r="AE7" s="49">
        <f>AD7/288</f>
        <v>24.375000000000004</v>
      </c>
      <c r="AF7" s="45">
        <v>9500</v>
      </c>
      <c r="AG7" s="36">
        <f>AF7*1.08</f>
        <v>10260</v>
      </c>
      <c r="AH7" s="49">
        <f>AG7/288</f>
        <v>35.625</v>
      </c>
    </row>
    <row r="8" spans="2:34" ht="20" x14ac:dyDescent="0.25">
      <c r="B8" s="6" t="s">
        <v>6</v>
      </c>
      <c r="C8" s="12" t="s">
        <v>40</v>
      </c>
      <c r="D8" s="22" t="s">
        <v>0</v>
      </c>
      <c r="E8" s="37">
        <v>400000</v>
      </c>
      <c r="F8" s="38">
        <f>E8*1.08</f>
        <v>432000</v>
      </c>
      <c r="G8" s="39">
        <f>F8/288</f>
        <v>1500</v>
      </c>
      <c r="H8" s="40">
        <f>I8/1.08</f>
        <v>355000</v>
      </c>
      <c r="I8" s="40">
        <f>355000*1.08</f>
        <v>383400</v>
      </c>
      <c r="J8" s="39">
        <f t="shared" si="0"/>
        <v>1331.25</v>
      </c>
      <c r="K8" s="38">
        <f>L8/1.08</f>
        <v>342000</v>
      </c>
      <c r="L8" s="40">
        <v>369360</v>
      </c>
      <c r="M8" s="41">
        <f t="shared" si="1"/>
        <v>1282.5</v>
      </c>
      <c r="N8" s="37">
        <f>O8/1.08</f>
        <v>300000</v>
      </c>
      <c r="O8" s="40">
        <v>324000</v>
      </c>
      <c r="P8" s="41">
        <f t="shared" si="2"/>
        <v>1125</v>
      </c>
      <c r="Q8" s="37">
        <f>R8/1.08</f>
        <v>201666.66666666666</v>
      </c>
      <c r="R8" s="42">
        <v>217800</v>
      </c>
      <c r="S8" s="43">
        <f>R8/288</f>
        <v>756.25</v>
      </c>
      <c r="T8" s="37">
        <v>134000</v>
      </c>
      <c r="U8" s="40">
        <f>T8*1.08</f>
        <v>144720</v>
      </c>
      <c r="V8" s="40">
        <f>U8/288</f>
        <v>502.5</v>
      </c>
      <c r="W8" s="37">
        <v>129999.99999999999</v>
      </c>
      <c r="X8" s="40">
        <f>W8*1.08</f>
        <v>140400</v>
      </c>
      <c r="Y8" s="44">
        <f>X8/288</f>
        <v>487.5</v>
      </c>
      <c r="Z8" s="37">
        <v>132000</v>
      </c>
      <c r="AA8" s="40">
        <f>Z8*1.08</f>
        <v>142560</v>
      </c>
      <c r="AB8" s="40">
        <f>AA8/288</f>
        <v>495</v>
      </c>
      <c r="AC8" s="37">
        <v>107667</v>
      </c>
      <c r="AD8" s="40">
        <f>AC8*1.08</f>
        <v>116280.36</v>
      </c>
      <c r="AE8" s="44">
        <f>AD8/288</f>
        <v>403.75125000000003</v>
      </c>
      <c r="AF8" s="37">
        <v>78000</v>
      </c>
      <c r="AG8" s="40">
        <f>AF8*1.08</f>
        <v>84240</v>
      </c>
      <c r="AH8" s="44">
        <f>AG8/288</f>
        <v>292.5</v>
      </c>
    </row>
    <row r="9" spans="2:34" ht="20" x14ac:dyDescent="0.25">
      <c r="B9" s="6" t="s">
        <v>6</v>
      </c>
      <c r="C9" s="12" t="s">
        <v>57</v>
      </c>
      <c r="D9" s="22" t="s">
        <v>1</v>
      </c>
      <c r="E9" s="37">
        <v>58000</v>
      </c>
      <c r="F9" s="38">
        <f>E9*1.08</f>
        <v>62640.000000000007</v>
      </c>
      <c r="G9" s="39">
        <f>F9/288</f>
        <v>217.50000000000003</v>
      </c>
      <c r="H9" s="40">
        <f t="shared" ref="H9:H58" si="3">I9/1.08</f>
        <v>48000</v>
      </c>
      <c r="I9" s="40">
        <v>51840</v>
      </c>
      <c r="J9" s="39">
        <f t="shared" si="0"/>
        <v>180</v>
      </c>
      <c r="K9" s="38">
        <f>L9/1.08</f>
        <v>48000</v>
      </c>
      <c r="L9" s="40">
        <v>51840</v>
      </c>
      <c r="M9" s="41">
        <f t="shared" si="1"/>
        <v>180</v>
      </c>
      <c r="N9" s="37">
        <f>O9/1.08</f>
        <v>43600</v>
      </c>
      <c r="O9" s="40">
        <v>47088</v>
      </c>
      <c r="P9" s="41">
        <f t="shared" si="2"/>
        <v>163.5</v>
      </c>
      <c r="Q9" s="37">
        <f>R9/1.08</f>
        <v>0</v>
      </c>
      <c r="R9" s="40">
        <v>0</v>
      </c>
      <c r="S9" s="44">
        <v>0</v>
      </c>
      <c r="T9" s="37">
        <v>0</v>
      </c>
      <c r="U9" s="40">
        <f>T9*1.08</f>
        <v>0</v>
      </c>
      <c r="V9" s="40">
        <f>U9/288</f>
        <v>0</v>
      </c>
      <c r="W9" s="37">
        <v>0</v>
      </c>
      <c r="X9" s="40">
        <f>W9*1.08</f>
        <v>0</v>
      </c>
      <c r="Y9" s="44">
        <f>X9/288</f>
        <v>0</v>
      </c>
      <c r="Z9" s="37">
        <v>0</v>
      </c>
      <c r="AA9" s="40">
        <f>Z9*1.08</f>
        <v>0</v>
      </c>
      <c r="AB9" s="40">
        <f>AA9/288</f>
        <v>0</v>
      </c>
      <c r="AC9" s="37">
        <v>0</v>
      </c>
      <c r="AD9" s="40">
        <f>AC9*1.08</f>
        <v>0</v>
      </c>
      <c r="AE9" s="44">
        <f>AD9/288</f>
        <v>0</v>
      </c>
      <c r="AF9" s="37">
        <v>0</v>
      </c>
      <c r="AG9" s="40">
        <f>AF9*1.08</f>
        <v>0</v>
      </c>
      <c r="AH9" s="44">
        <f>AG9/288</f>
        <v>0</v>
      </c>
    </row>
    <row r="10" spans="2:34" ht="20" x14ac:dyDescent="0.25">
      <c r="B10" s="6" t="s">
        <v>6</v>
      </c>
      <c r="C10" s="12" t="s">
        <v>7</v>
      </c>
      <c r="D10" s="22" t="s">
        <v>1</v>
      </c>
      <c r="E10" s="37">
        <v>22000</v>
      </c>
      <c r="F10" s="38">
        <f>E10*1.08</f>
        <v>23760</v>
      </c>
      <c r="G10" s="39">
        <f>F10/288</f>
        <v>82.5</v>
      </c>
      <c r="H10" s="40">
        <f t="shared" si="3"/>
        <v>18153.703703703701</v>
      </c>
      <c r="I10" s="40">
        <v>19606</v>
      </c>
      <c r="J10" s="39">
        <f t="shared" si="0"/>
        <v>68.076388888888886</v>
      </c>
      <c r="K10" s="38">
        <f>L10/1.08</f>
        <v>14571.296296296296</v>
      </c>
      <c r="L10" s="40">
        <v>15737</v>
      </c>
      <c r="M10" s="41">
        <f t="shared" si="1"/>
        <v>54.642361111111114</v>
      </c>
      <c r="N10" s="37">
        <f>O10/1.08</f>
        <v>24285.185185185182</v>
      </c>
      <c r="O10" s="40">
        <v>26228</v>
      </c>
      <c r="P10" s="41">
        <f t="shared" si="2"/>
        <v>91.069444444444443</v>
      </c>
      <c r="Q10" s="37">
        <f>R10/1.08</f>
        <v>24000</v>
      </c>
      <c r="R10" s="40">
        <f>(28080+23760)/2</f>
        <v>25920</v>
      </c>
      <c r="S10" s="43">
        <f t="shared" ref="S10:S29" si="4">R10/288</f>
        <v>90</v>
      </c>
      <c r="T10" s="37">
        <v>13357</v>
      </c>
      <c r="U10" s="40">
        <f>T10*1.08</f>
        <v>14425.560000000001</v>
      </c>
      <c r="V10" s="40">
        <f>U10/288</f>
        <v>50.088750000000005</v>
      </c>
      <c r="W10" s="37">
        <v>13779.222222222223</v>
      </c>
      <c r="X10" s="40">
        <f>W10*1.08</f>
        <v>14881.560000000001</v>
      </c>
      <c r="Y10" s="44">
        <f>X10/288</f>
        <v>51.67208333333334</v>
      </c>
      <c r="Z10" s="37">
        <v>10214</v>
      </c>
      <c r="AA10" s="40">
        <f>Z10*1.08</f>
        <v>11031.12</v>
      </c>
      <c r="AB10" s="40">
        <f>AA10/288</f>
        <v>38.302500000000002</v>
      </c>
      <c r="AC10" s="37">
        <v>9107</v>
      </c>
      <c r="AD10" s="40">
        <f>AC10*1.08</f>
        <v>9835.5600000000013</v>
      </c>
      <c r="AE10" s="44">
        <f>AD10/288</f>
        <v>34.151250000000005</v>
      </c>
      <c r="AF10" s="37">
        <v>8062</v>
      </c>
      <c r="AG10" s="40">
        <f>AF10*1.08</f>
        <v>8706.9600000000009</v>
      </c>
      <c r="AH10" s="44">
        <f>AG10/288</f>
        <v>30.232500000000002</v>
      </c>
    </row>
    <row r="11" spans="2:34" ht="20" x14ac:dyDescent="0.25">
      <c r="B11" s="7" t="s">
        <v>5</v>
      </c>
      <c r="C11" s="13" t="s">
        <v>8</v>
      </c>
      <c r="D11" s="21" t="s">
        <v>1</v>
      </c>
      <c r="E11" s="45">
        <v>18437</v>
      </c>
      <c r="F11" s="36">
        <f>E11*1.08</f>
        <v>19911.960000000003</v>
      </c>
      <c r="G11" s="46">
        <f>F11/288</f>
        <v>69.138750000000016</v>
      </c>
      <c r="H11" s="36">
        <f t="shared" si="3"/>
        <v>18857.407407407405</v>
      </c>
      <c r="I11" s="36">
        <v>20366</v>
      </c>
      <c r="J11" s="46">
        <f t="shared" si="0"/>
        <v>70.715277777777771</v>
      </c>
      <c r="K11" s="33">
        <f>L11/1.08</f>
        <v>19312.962962962964</v>
      </c>
      <c r="L11" s="36">
        <v>20858</v>
      </c>
      <c r="M11" s="47">
        <f t="shared" si="1"/>
        <v>72.423611111111114</v>
      </c>
      <c r="N11" s="45">
        <f>O11/1.08</f>
        <v>21230.555555555555</v>
      </c>
      <c r="O11" s="36">
        <v>22929</v>
      </c>
      <c r="P11" s="47">
        <f t="shared" si="2"/>
        <v>79.614583333333329</v>
      </c>
      <c r="Q11" s="45">
        <f>R11/1.08</f>
        <v>19666.666666666664</v>
      </c>
      <c r="R11" s="36">
        <f>((21600*4)+(20520*2))/6</f>
        <v>21240</v>
      </c>
      <c r="S11" s="48">
        <f t="shared" si="4"/>
        <v>73.75</v>
      </c>
      <c r="T11" s="45">
        <v>12350</v>
      </c>
      <c r="U11" s="36">
        <f>T11*1.08</f>
        <v>13338</v>
      </c>
      <c r="V11" s="36">
        <f>U11/288</f>
        <v>46.3125</v>
      </c>
      <c r="W11" s="45">
        <v>12812</v>
      </c>
      <c r="X11" s="36">
        <f>W11*1.08</f>
        <v>13836.960000000001</v>
      </c>
      <c r="Y11" s="49">
        <f>X11/288</f>
        <v>48.045000000000002</v>
      </c>
      <c r="Z11" s="45">
        <v>10607</v>
      </c>
      <c r="AA11" s="36">
        <f>Z11*1.08</f>
        <v>11455.560000000001</v>
      </c>
      <c r="AB11" s="36">
        <f>AA11/288</f>
        <v>39.776250000000005</v>
      </c>
      <c r="AC11" s="45">
        <v>8393</v>
      </c>
      <c r="AD11" s="36">
        <f>AC11*1.08</f>
        <v>9064.44</v>
      </c>
      <c r="AE11" s="49">
        <f>AD11/288</f>
        <v>31.473750000000003</v>
      </c>
      <c r="AF11" s="45">
        <v>11070</v>
      </c>
      <c r="AG11" s="36">
        <f>AF11*1.08</f>
        <v>11955.6</v>
      </c>
      <c r="AH11" s="49">
        <f>AG11/288</f>
        <v>41.512500000000003</v>
      </c>
    </row>
    <row r="12" spans="2:34" ht="20" x14ac:dyDescent="0.25">
      <c r="B12" s="7" t="s">
        <v>5</v>
      </c>
      <c r="C12" s="13" t="s">
        <v>41</v>
      </c>
      <c r="D12" s="21" t="s">
        <v>1</v>
      </c>
      <c r="E12" s="45">
        <v>14687</v>
      </c>
      <c r="F12" s="36">
        <f>E12*1.08</f>
        <v>15861.960000000001</v>
      </c>
      <c r="G12" s="46">
        <f>F12/288</f>
        <v>55.076250000000002</v>
      </c>
      <c r="H12" s="36">
        <f t="shared" si="3"/>
        <v>12000</v>
      </c>
      <c r="I12" s="36">
        <v>12960</v>
      </c>
      <c r="J12" s="46">
        <f t="shared" si="0"/>
        <v>45</v>
      </c>
      <c r="K12" s="33">
        <f>L12/1.08</f>
        <v>7999.9999999999991</v>
      </c>
      <c r="L12" s="36">
        <v>8640</v>
      </c>
      <c r="M12" s="47">
        <f t="shared" si="1"/>
        <v>30</v>
      </c>
      <c r="N12" s="45">
        <f>O12/1.08</f>
        <v>15249.999999999998</v>
      </c>
      <c r="O12" s="36">
        <v>16470</v>
      </c>
      <c r="P12" s="47">
        <f t="shared" si="2"/>
        <v>57.1875</v>
      </c>
      <c r="Q12" s="45">
        <f>R12/1.08</f>
        <v>15999.999999999998</v>
      </c>
      <c r="R12" s="36">
        <v>17280</v>
      </c>
      <c r="S12" s="48">
        <f t="shared" si="4"/>
        <v>60</v>
      </c>
      <c r="T12" s="45">
        <v>11488</v>
      </c>
      <c r="U12" s="36">
        <f>T12*1.08</f>
        <v>12407.04</v>
      </c>
      <c r="V12" s="36">
        <f>U12/288</f>
        <v>43.080000000000005</v>
      </c>
      <c r="W12" s="45">
        <v>11928</v>
      </c>
      <c r="X12" s="36">
        <f>W12*1.08</f>
        <v>12882.240000000002</v>
      </c>
      <c r="Y12" s="49">
        <f>X12/288</f>
        <v>44.730000000000004</v>
      </c>
      <c r="Z12" s="45">
        <v>8283</v>
      </c>
      <c r="AA12" s="36">
        <f>Z12*1.08</f>
        <v>8945.6400000000012</v>
      </c>
      <c r="AB12" s="36">
        <f>AA12/288</f>
        <v>31.061250000000005</v>
      </c>
      <c r="AC12" s="45">
        <v>7020</v>
      </c>
      <c r="AD12" s="36">
        <f>AC12*1.08</f>
        <v>7581.6</v>
      </c>
      <c r="AE12" s="49">
        <f>AD12/288</f>
        <v>26.325000000000003</v>
      </c>
      <c r="AF12" s="45">
        <v>5085</v>
      </c>
      <c r="AG12" s="36">
        <f>AF12*1.08</f>
        <v>5491.8</v>
      </c>
      <c r="AH12" s="49">
        <f>AG12/288</f>
        <v>19.068750000000001</v>
      </c>
    </row>
    <row r="13" spans="2:34" ht="20" x14ac:dyDescent="0.25">
      <c r="B13" s="7" t="s">
        <v>5</v>
      </c>
      <c r="C13" s="13" t="s">
        <v>9</v>
      </c>
      <c r="D13" s="21" t="s">
        <v>1</v>
      </c>
      <c r="E13" s="45">
        <v>12650</v>
      </c>
      <c r="F13" s="36">
        <f>E13*1.08</f>
        <v>13662</v>
      </c>
      <c r="G13" s="46">
        <f>F13/288</f>
        <v>47.4375</v>
      </c>
      <c r="H13" s="36">
        <f t="shared" si="3"/>
        <v>13286.111111111109</v>
      </c>
      <c r="I13" s="36">
        <v>14349</v>
      </c>
      <c r="J13" s="46">
        <f t="shared" si="0"/>
        <v>49.822916666666664</v>
      </c>
      <c r="K13" s="33">
        <f>L13/1.08</f>
        <v>7884.2592592592591</v>
      </c>
      <c r="L13" s="36">
        <v>8515</v>
      </c>
      <c r="M13" s="47">
        <f t="shared" si="1"/>
        <v>29.565972222222221</v>
      </c>
      <c r="N13" s="45">
        <f>O13/1.08</f>
        <v>16461.111111111109</v>
      </c>
      <c r="O13" s="36">
        <v>17778</v>
      </c>
      <c r="P13" s="47">
        <f t="shared" si="2"/>
        <v>61.729166666666664</v>
      </c>
      <c r="Q13" s="45">
        <f>R13/1.08</f>
        <v>15874.999999999998</v>
      </c>
      <c r="R13" s="36">
        <f>137160/8</f>
        <v>17145</v>
      </c>
      <c r="S13" s="48">
        <f t="shared" si="4"/>
        <v>59.53125</v>
      </c>
      <c r="T13" s="45">
        <v>10800</v>
      </c>
      <c r="U13" s="36">
        <f>T13*1.08</f>
        <v>11664</v>
      </c>
      <c r="V13" s="36">
        <f>U13/288</f>
        <v>40.5</v>
      </c>
      <c r="W13" s="45">
        <v>10818</v>
      </c>
      <c r="X13" s="36">
        <f>W13*1.08</f>
        <v>11683.44</v>
      </c>
      <c r="Y13" s="49">
        <f>X13/288</f>
        <v>40.567500000000003</v>
      </c>
      <c r="Z13" s="45">
        <v>8887</v>
      </c>
      <c r="AA13" s="36">
        <f>Z13*1.08</f>
        <v>9597.9600000000009</v>
      </c>
      <c r="AB13" s="36">
        <f>AA13/288</f>
        <v>33.326250000000002</v>
      </c>
      <c r="AC13" s="45">
        <v>7400</v>
      </c>
      <c r="AD13" s="36">
        <f>AC13*1.08</f>
        <v>7992.0000000000009</v>
      </c>
      <c r="AE13" s="49">
        <f>AD13/288</f>
        <v>27.750000000000004</v>
      </c>
      <c r="AF13" s="45">
        <v>8529</v>
      </c>
      <c r="AG13" s="36">
        <f>AF13*1.08</f>
        <v>9211.32</v>
      </c>
      <c r="AH13" s="49">
        <f>AG13/288</f>
        <v>31.983750000000001</v>
      </c>
    </row>
    <row r="14" spans="2:34" ht="20" x14ac:dyDescent="0.25">
      <c r="B14" s="7" t="s">
        <v>5</v>
      </c>
      <c r="C14" s="13" t="s">
        <v>10</v>
      </c>
      <c r="D14" s="21" t="s">
        <v>1</v>
      </c>
      <c r="E14" s="45">
        <v>18375</v>
      </c>
      <c r="F14" s="36">
        <f>E14*1.08</f>
        <v>19845</v>
      </c>
      <c r="G14" s="46">
        <f>F14/288</f>
        <v>68.90625</v>
      </c>
      <c r="H14" s="36">
        <f t="shared" si="3"/>
        <v>15923.148148148148</v>
      </c>
      <c r="I14" s="36">
        <v>17197</v>
      </c>
      <c r="J14" s="46">
        <f t="shared" si="0"/>
        <v>59.711805555555557</v>
      </c>
      <c r="K14" s="33">
        <f>L14/1.08</f>
        <v>14142.592592592591</v>
      </c>
      <c r="L14" s="36">
        <v>15274</v>
      </c>
      <c r="M14" s="47">
        <f t="shared" si="1"/>
        <v>53.034722222222221</v>
      </c>
      <c r="N14" s="45">
        <f>O14/1.08</f>
        <v>20477.777777777777</v>
      </c>
      <c r="O14" s="36">
        <v>22116</v>
      </c>
      <c r="P14" s="47">
        <f t="shared" si="2"/>
        <v>76.791666666666671</v>
      </c>
      <c r="Q14" s="45">
        <f>R14/1.08</f>
        <v>16777.777777777777</v>
      </c>
      <c r="R14" s="36">
        <f>163080/9</f>
        <v>18120</v>
      </c>
      <c r="S14" s="48">
        <f t="shared" si="4"/>
        <v>62.916666666666664</v>
      </c>
      <c r="T14" s="45">
        <v>12306</v>
      </c>
      <c r="U14" s="36">
        <f>T14*1.08</f>
        <v>13290.480000000001</v>
      </c>
      <c r="V14" s="36">
        <f>U14/288</f>
        <v>46.147500000000008</v>
      </c>
      <c r="W14" s="45">
        <v>13057</v>
      </c>
      <c r="X14" s="36">
        <f>W14*1.08</f>
        <v>14101.560000000001</v>
      </c>
      <c r="Y14" s="49">
        <f>X14/288</f>
        <v>48.963750000000005</v>
      </c>
      <c r="Z14" s="45">
        <v>10021</v>
      </c>
      <c r="AA14" s="36">
        <f>Z14*1.08</f>
        <v>10822.68</v>
      </c>
      <c r="AB14" s="36">
        <f>AA14/288</f>
        <v>37.578749999999999</v>
      </c>
      <c r="AC14" s="45">
        <v>10500</v>
      </c>
      <c r="AD14" s="36">
        <f>AC14*1.08</f>
        <v>11340</v>
      </c>
      <c r="AE14" s="49">
        <f>AD14/288</f>
        <v>39.375</v>
      </c>
      <c r="AF14" s="45">
        <v>7735</v>
      </c>
      <c r="AG14" s="36">
        <f>AF14*1.08</f>
        <v>8353.8000000000011</v>
      </c>
      <c r="AH14" s="49">
        <f>AG14/288</f>
        <v>29.006250000000005</v>
      </c>
    </row>
    <row r="15" spans="2:34" ht="20" x14ac:dyDescent="0.25">
      <c r="B15" s="7" t="s">
        <v>5</v>
      </c>
      <c r="C15" s="13" t="s">
        <v>11</v>
      </c>
      <c r="D15" s="21" t="s">
        <v>1</v>
      </c>
      <c r="E15" s="45">
        <v>14880</v>
      </c>
      <c r="F15" s="36">
        <f>E15*1.08</f>
        <v>16070.400000000001</v>
      </c>
      <c r="G15" s="46">
        <f>F15/288</f>
        <v>55.800000000000004</v>
      </c>
      <c r="H15" s="36">
        <f t="shared" si="3"/>
        <v>16303.703703703703</v>
      </c>
      <c r="I15" s="36">
        <v>17608</v>
      </c>
      <c r="J15" s="46">
        <f t="shared" si="0"/>
        <v>61.138888888888886</v>
      </c>
      <c r="K15" s="33">
        <f>L15/1.08</f>
        <v>18033.333333333332</v>
      </c>
      <c r="L15" s="36">
        <v>19476</v>
      </c>
      <c r="M15" s="47">
        <f t="shared" si="1"/>
        <v>67.625</v>
      </c>
      <c r="N15" s="45">
        <f>O15/1.08</f>
        <v>17600</v>
      </c>
      <c r="O15" s="36">
        <v>19008</v>
      </c>
      <c r="P15" s="47">
        <f t="shared" si="2"/>
        <v>66</v>
      </c>
      <c r="Q15" s="45">
        <f>R15/1.08</f>
        <v>17250</v>
      </c>
      <c r="R15" s="36">
        <f>298080/16</f>
        <v>18630</v>
      </c>
      <c r="S15" s="48">
        <f t="shared" si="4"/>
        <v>64.6875</v>
      </c>
      <c r="T15" s="45">
        <v>9678</v>
      </c>
      <c r="U15" s="36">
        <f>T15*1.08</f>
        <v>10452.24</v>
      </c>
      <c r="V15" s="36">
        <f>U15/288</f>
        <v>36.292499999999997</v>
      </c>
      <c r="W15" s="45">
        <v>11255</v>
      </c>
      <c r="X15" s="36">
        <f>W15*1.08</f>
        <v>12155.400000000001</v>
      </c>
      <c r="Y15" s="49">
        <f>X15/288</f>
        <v>42.206250000000004</v>
      </c>
      <c r="Z15" s="45">
        <v>9094</v>
      </c>
      <c r="AA15" s="36">
        <f>Z15*1.08</f>
        <v>9821.52</v>
      </c>
      <c r="AB15" s="36">
        <f>AA15/288</f>
        <v>34.102499999999999</v>
      </c>
      <c r="AC15" s="45">
        <v>9188</v>
      </c>
      <c r="AD15" s="36">
        <f>AC15*1.08</f>
        <v>9923.0400000000009</v>
      </c>
      <c r="AE15" s="49">
        <f>AD15/288</f>
        <v>34.455000000000005</v>
      </c>
      <c r="AF15" s="45">
        <v>9821</v>
      </c>
      <c r="AG15" s="36">
        <f>AF15*1.08</f>
        <v>10606.68</v>
      </c>
      <c r="AH15" s="49">
        <f>AG15/288</f>
        <v>36.828749999999999</v>
      </c>
    </row>
    <row r="16" spans="2:34" ht="20" x14ac:dyDescent="0.25">
      <c r="B16" s="7" t="s">
        <v>5</v>
      </c>
      <c r="C16" s="13" t="s">
        <v>12</v>
      </c>
      <c r="D16" s="21" t="s">
        <v>1</v>
      </c>
      <c r="E16" s="45">
        <v>14562</v>
      </c>
      <c r="F16" s="36">
        <f>E16*1.08</f>
        <v>15726.960000000001</v>
      </c>
      <c r="G16" s="46">
        <f>F16/288</f>
        <v>54.607500000000002</v>
      </c>
      <c r="H16" s="36">
        <f t="shared" si="3"/>
        <v>15303.703703703703</v>
      </c>
      <c r="I16" s="36">
        <v>16528</v>
      </c>
      <c r="J16" s="46">
        <f t="shared" si="0"/>
        <v>57.388888888888886</v>
      </c>
      <c r="K16" s="33">
        <f>L16/1.08</f>
        <v>18551.85185185185</v>
      </c>
      <c r="L16" s="36">
        <v>20036</v>
      </c>
      <c r="M16" s="47">
        <f t="shared" si="1"/>
        <v>69.569444444444443</v>
      </c>
      <c r="N16" s="45">
        <f>O16/1.08</f>
        <v>20066.666666666664</v>
      </c>
      <c r="O16" s="36">
        <v>21672</v>
      </c>
      <c r="P16" s="47">
        <f t="shared" si="2"/>
        <v>75.25</v>
      </c>
      <c r="Q16" s="45">
        <f>R16/1.08</f>
        <v>18333.333333333332</v>
      </c>
      <c r="R16" s="36">
        <f>297000/15</f>
        <v>19800</v>
      </c>
      <c r="S16" s="48">
        <f t="shared" si="4"/>
        <v>68.75</v>
      </c>
      <c r="T16" s="45">
        <v>8700</v>
      </c>
      <c r="U16" s="36">
        <f>T16*1.08</f>
        <v>9396</v>
      </c>
      <c r="V16" s="36">
        <f>U16/288</f>
        <v>32.625</v>
      </c>
      <c r="W16" s="45">
        <v>12774</v>
      </c>
      <c r="X16" s="36">
        <f>W16*1.08</f>
        <v>13795.92</v>
      </c>
      <c r="Y16" s="49">
        <f>X16/288</f>
        <v>47.902500000000003</v>
      </c>
      <c r="Z16" s="45">
        <v>11500</v>
      </c>
      <c r="AA16" s="36">
        <f>Z16*1.08</f>
        <v>12420</v>
      </c>
      <c r="AB16" s="36">
        <f>AA16/288</f>
        <v>43.125</v>
      </c>
      <c r="AC16" s="45">
        <v>9470</v>
      </c>
      <c r="AD16" s="36">
        <f>AC16*1.08</f>
        <v>10227.6</v>
      </c>
      <c r="AE16" s="49">
        <f>AD16/288</f>
        <v>35.512500000000003</v>
      </c>
      <c r="AF16" s="45">
        <v>9529</v>
      </c>
      <c r="AG16" s="36">
        <f>AF16*1.08</f>
        <v>10291.320000000002</v>
      </c>
      <c r="AH16" s="49">
        <f>AG16/288</f>
        <v>35.733750000000008</v>
      </c>
    </row>
    <row r="17" spans="2:34" ht="20" x14ac:dyDescent="0.25">
      <c r="B17" s="7" t="s">
        <v>5</v>
      </c>
      <c r="C17" s="13" t="s">
        <v>13</v>
      </c>
      <c r="D17" s="21" t="s">
        <v>1</v>
      </c>
      <c r="E17" s="45">
        <v>13654</v>
      </c>
      <c r="F17" s="36">
        <f>E17*1.08</f>
        <v>14746.320000000002</v>
      </c>
      <c r="G17" s="46">
        <f>F17/288</f>
        <v>51.202500000000008</v>
      </c>
      <c r="H17" s="36">
        <f t="shared" si="3"/>
        <v>13230.555555555555</v>
      </c>
      <c r="I17" s="36">
        <v>14289</v>
      </c>
      <c r="J17" s="46">
        <f t="shared" si="0"/>
        <v>49.614583333333336</v>
      </c>
      <c r="K17" s="33">
        <f>L17/1.08</f>
        <v>8213.8888888888887</v>
      </c>
      <c r="L17" s="36">
        <v>8871</v>
      </c>
      <c r="M17" s="47">
        <f t="shared" si="1"/>
        <v>30.802083333333332</v>
      </c>
      <c r="N17" s="45">
        <f>O17/1.08</f>
        <v>16066.666666666666</v>
      </c>
      <c r="O17" s="36">
        <v>17352</v>
      </c>
      <c r="P17" s="47">
        <f t="shared" si="2"/>
        <v>60.25</v>
      </c>
      <c r="Q17" s="45">
        <f>R17/1.08</f>
        <v>15999.999999999998</v>
      </c>
      <c r="R17" s="36">
        <f>86400/5</f>
        <v>17280</v>
      </c>
      <c r="S17" s="48">
        <f t="shared" si="4"/>
        <v>60</v>
      </c>
      <c r="T17" s="45">
        <v>10420</v>
      </c>
      <c r="U17" s="36">
        <f>T17*1.08</f>
        <v>11253.6</v>
      </c>
      <c r="V17" s="36">
        <f>U17/288</f>
        <v>39.075000000000003</v>
      </c>
      <c r="W17" s="45">
        <v>10167</v>
      </c>
      <c r="X17" s="36">
        <f>W17*1.08</f>
        <v>10980.36</v>
      </c>
      <c r="Y17" s="49">
        <f>X17/288</f>
        <v>38.126249999999999</v>
      </c>
      <c r="Z17" s="45">
        <v>7279</v>
      </c>
      <c r="AA17" s="36">
        <f>Z17*1.08</f>
        <v>7861.3200000000006</v>
      </c>
      <c r="AB17" s="36">
        <f>AA17/288</f>
        <v>27.296250000000001</v>
      </c>
      <c r="AC17" s="45">
        <v>7773</v>
      </c>
      <c r="AD17" s="36">
        <f>AC17*1.08</f>
        <v>8394.84</v>
      </c>
      <c r="AE17" s="49">
        <f>AD17/288</f>
        <v>29.14875</v>
      </c>
      <c r="AF17" s="45">
        <v>5478</v>
      </c>
      <c r="AG17" s="36">
        <f>AF17*1.08</f>
        <v>5916.2400000000007</v>
      </c>
      <c r="AH17" s="49">
        <f>AG17/288</f>
        <v>20.542500000000004</v>
      </c>
    </row>
    <row r="18" spans="2:34" ht="20" x14ac:dyDescent="0.25">
      <c r="B18" s="7" t="s">
        <v>5</v>
      </c>
      <c r="C18" s="13" t="s">
        <v>14</v>
      </c>
      <c r="D18" s="21" t="s">
        <v>1</v>
      </c>
      <c r="E18" s="45">
        <v>16611</v>
      </c>
      <c r="F18" s="36">
        <f>E18*1.08</f>
        <v>17939.88</v>
      </c>
      <c r="G18" s="46">
        <f>F18/288</f>
        <v>62.291250000000005</v>
      </c>
      <c r="H18" s="36">
        <f t="shared" si="3"/>
        <v>16333.333333333332</v>
      </c>
      <c r="I18" s="36">
        <v>17640</v>
      </c>
      <c r="J18" s="46">
        <f t="shared" si="0"/>
        <v>61.25</v>
      </c>
      <c r="K18" s="33">
        <f>L18/1.08</f>
        <v>14043.518518518518</v>
      </c>
      <c r="L18" s="36">
        <v>15167</v>
      </c>
      <c r="M18" s="47">
        <f t="shared" si="1"/>
        <v>52.663194444444443</v>
      </c>
      <c r="N18" s="45">
        <f>O18/1.08</f>
        <v>19453.703703703701</v>
      </c>
      <c r="O18" s="36">
        <v>21010</v>
      </c>
      <c r="P18" s="47">
        <f t="shared" si="2"/>
        <v>72.951388888888886</v>
      </c>
      <c r="Q18" s="45">
        <f>R18/1.08</f>
        <v>15230.76923076923</v>
      </c>
      <c r="R18" s="36">
        <f>213840/13</f>
        <v>16449.23076923077</v>
      </c>
      <c r="S18" s="48">
        <f t="shared" si="4"/>
        <v>57.115384615384613</v>
      </c>
      <c r="T18" s="45">
        <v>11116</v>
      </c>
      <c r="U18" s="36">
        <f>T18*1.08</f>
        <v>12005.28</v>
      </c>
      <c r="V18" s="36">
        <f>U18/288</f>
        <v>41.685000000000002</v>
      </c>
      <c r="W18" s="45">
        <v>10733</v>
      </c>
      <c r="X18" s="36">
        <f>W18*1.08</f>
        <v>11591.640000000001</v>
      </c>
      <c r="Y18" s="49">
        <f>X18/288</f>
        <v>40.248750000000001</v>
      </c>
      <c r="Z18" s="45">
        <v>8714</v>
      </c>
      <c r="AA18" s="36">
        <f>Z18*1.08</f>
        <v>9411.1200000000008</v>
      </c>
      <c r="AB18" s="36">
        <f>AA18/288</f>
        <v>32.677500000000002</v>
      </c>
      <c r="AC18" s="45">
        <v>10696</v>
      </c>
      <c r="AD18" s="36">
        <f>AC18*1.08</f>
        <v>11551.68</v>
      </c>
      <c r="AE18" s="49">
        <f>AD18/288</f>
        <v>40.11</v>
      </c>
      <c r="AF18" s="45">
        <v>7583</v>
      </c>
      <c r="AG18" s="36">
        <f>AF18*1.08</f>
        <v>8189.64</v>
      </c>
      <c r="AH18" s="49">
        <f>AG18/288</f>
        <v>28.436250000000001</v>
      </c>
    </row>
    <row r="19" spans="2:34" ht="20" x14ac:dyDescent="0.25">
      <c r="B19" s="7" t="s">
        <v>5</v>
      </c>
      <c r="C19" s="13" t="s">
        <v>15</v>
      </c>
      <c r="D19" s="21" t="s">
        <v>1</v>
      </c>
      <c r="E19" s="45">
        <v>17660</v>
      </c>
      <c r="F19" s="36">
        <f>E19*1.08</f>
        <v>19072.800000000003</v>
      </c>
      <c r="G19" s="46">
        <f>F19/288</f>
        <v>66.225000000000009</v>
      </c>
      <c r="H19" s="36">
        <f t="shared" si="3"/>
        <v>18279.629629629628</v>
      </c>
      <c r="I19" s="36">
        <v>19742</v>
      </c>
      <c r="J19" s="46">
        <f t="shared" si="0"/>
        <v>68.548611111111114</v>
      </c>
      <c r="K19" s="33">
        <f>L19/1.08</f>
        <v>16333.333333333332</v>
      </c>
      <c r="L19" s="36">
        <v>17640</v>
      </c>
      <c r="M19" s="47">
        <f t="shared" si="1"/>
        <v>61.25</v>
      </c>
      <c r="N19" s="45">
        <f>O19/1.08</f>
        <v>21666.666666666664</v>
      </c>
      <c r="O19" s="36">
        <v>23400</v>
      </c>
      <c r="P19" s="47">
        <f t="shared" si="2"/>
        <v>81.25</v>
      </c>
      <c r="Q19" s="45">
        <f>R19/1.08</f>
        <v>22200</v>
      </c>
      <c r="R19" s="36">
        <f>359640/15</f>
        <v>23976</v>
      </c>
      <c r="S19" s="48">
        <f t="shared" si="4"/>
        <v>83.25</v>
      </c>
      <c r="T19" s="45">
        <v>13800</v>
      </c>
      <c r="U19" s="36">
        <f>T19*1.08</f>
        <v>14904.000000000002</v>
      </c>
      <c r="V19" s="36">
        <f>U19/288</f>
        <v>51.750000000000007</v>
      </c>
      <c r="W19" s="45">
        <v>14354</v>
      </c>
      <c r="X19" s="36">
        <f>W19*1.08</f>
        <v>15502.320000000002</v>
      </c>
      <c r="Y19" s="49">
        <f>X19/288</f>
        <v>53.827500000000008</v>
      </c>
      <c r="Z19" s="45">
        <v>11427</v>
      </c>
      <c r="AA19" s="36">
        <f>Z19*1.08</f>
        <v>12341.160000000002</v>
      </c>
      <c r="AB19" s="36">
        <f>AA19/288</f>
        <v>42.851250000000007</v>
      </c>
      <c r="AC19" s="45">
        <v>8714</v>
      </c>
      <c r="AD19" s="36">
        <f>AC19*1.08</f>
        <v>9411.1200000000008</v>
      </c>
      <c r="AE19" s="49">
        <f>AD19/288</f>
        <v>32.677500000000002</v>
      </c>
      <c r="AF19" s="45">
        <v>8957</v>
      </c>
      <c r="AG19" s="36">
        <f>AF19*1.08</f>
        <v>9673.5600000000013</v>
      </c>
      <c r="AH19" s="49">
        <f>AG19/288</f>
        <v>33.588750000000005</v>
      </c>
    </row>
    <row r="20" spans="2:34" ht="20" x14ac:dyDescent="0.25">
      <c r="B20" s="7" t="s">
        <v>5</v>
      </c>
      <c r="C20" s="13" t="s">
        <v>16</v>
      </c>
      <c r="D20" s="21" t="s">
        <v>1</v>
      </c>
      <c r="E20" s="45">
        <v>14321</v>
      </c>
      <c r="F20" s="36">
        <f>E20*1.08</f>
        <v>15466.68</v>
      </c>
      <c r="G20" s="46">
        <f>F20/288</f>
        <v>53.703749999999999</v>
      </c>
      <c r="H20" s="36">
        <f t="shared" si="3"/>
        <v>13071.296296296296</v>
      </c>
      <c r="I20" s="36">
        <v>14117</v>
      </c>
      <c r="J20" s="46">
        <f t="shared" si="0"/>
        <v>49.017361111111114</v>
      </c>
      <c r="K20" s="33">
        <f>L20/1.08</f>
        <v>9000</v>
      </c>
      <c r="L20" s="36">
        <v>9720</v>
      </c>
      <c r="M20" s="47">
        <f t="shared" si="1"/>
        <v>33.75</v>
      </c>
      <c r="N20" s="45">
        <f>O20/1.08</f>
        <v>17303.703703703704</v>
      </c>
      <c r="O20" s="36">
        <v>18688</v>
      </c>
      <c r="P20" s="47">
        <f t="shared" si="2"/>
        <v>64.888888888888886</v>
      </c>
      <c r="Q20" s="45">
        <f>R20/1.08</f>
        <v>17363.63636363636</v>
      </c>
      <c r="R20" s="36">
        <f>206280/11</f>
        <v>18752.727272727272</v>
      </c>
      <c r="S20" s="48">
        <f t="shared" si="4"/>
        <v>65.11363636363636</v>
      </c>
      <c r="T20" s="45">
        <v>10880</v>
      </c>
      <c r="U20" s="36">
        <f>T20*1.08</f>
        <v>11750.400000000001</v>
      </c>
      <c r="V20" s="36">
        <f>U20/288</f>
        <v>40.800000000000004</v>
      </c>
      <c r="W20" s="45">
        <v>11500</v>
      </c>
      <c r="X20" s="36">
        <f>W20*1.08</f>
        <v>12420</v>
      </c>
      <c r="Y20" s="49">
        <f>X20/288</f>
        <v>43.125</v>
      </c>
      <c r="Z20" s="45">
        <v>9032</v>
      </c>
      <c r="AA20" s="36">
        <f>Z20*1.08</f>
        <v>9754.5600000000013</v>
      </c>
      <c r="AB20" s="36">
        <f>AA20/288</f>
        <v>33.870000000000005</v>
      </c>
      <c r="AC20" s="45">
        <v>8840</v>
      </c>
      <c r="AD20" s="36">
        <f>AC20*1.08</f>
        <v>9547.2000000000007</v>
      </c>
      <c r="AE20" s="49">
        <f>AD20/288</f>
        <v>33.150000000000006</v>
      </c>
      <c r="AF20" s="45">
        <v>7000</v>
      </c>
      <c r="AG20" s="36">
        <f>AF20*1.08</f>
        <v>7560.0000000000009</v>
      </c>
      <c r="AH20" s="49">
        <f>AG20/288</f>
        <v>26.250000000000004</v>
      </c>
    </row>
    <row r="21" spans="2:34" ht="20" x14ac:dyDescent="0.25">
      <c r="B21" s="6" t="s">
        <v>6</v>
      </c>
      <c r="C21" s="12" t="s">
        <v>60</v>
      </c>
      <c r="D21" s="22" t="s">
        <v>1</v>
      </c>
      <c r="E21" s="37">
        <v>24500</v>
      </c>
      <c r="F21" s="38">
        <f>E21*1.08</f>
        <v>26460</v>
      </c>
      <c r="G21" s="39">
        <f>F21/288</f>
        <v>91.875</v>
      </c>
      <c r="H21" s="40">
        <f t="shared" si="3"/>
        <v>20000</v>
      </c>
      <c r="I21" s="40">
        <v>21600</v>
      </c>
      <c r="J21" s="39">
        <f t="shared" si="0"/>
        <v>75</v>
      </c>
      <c r="K21" s="38">
        <f>L21/1.08</f>
        <v>19000</v>
      </c>
      <c r="L21" s="40">
        <v>20520</v>
      </c>
      <c r="M21" s="41">
        <f t="shared" si="1"/>
        <v>71.25</v>
      </c>
      <c r="N21" s="37">
        <f>O21/1.08</f>
        <v>22500</v>
      </c>
      <c r="O21" s="40">
        <v>24300</v>
      </c>
      <c r="P21" s="41">
        <f t="shared" si="2"/>
        <v>84.375</v>
      </c>
      <c r="Q21" s="37">
        <f>R21/1.08</f>
        <v>29999.999999999996</v>
      </c>
      <c r="R21" s="40">
        <v>32400</v>
      </c>
      <c r="S21" s="43">
        <f t="shared" si="4"/>
        <v>112.5</v>
      </c>
      <c r="T21" s="37">
        <v>11000</v>
      </c>
      <c r="U21" s="40">
        <f>T21*1.08</f>
        <v>11880</v>
      </c>
      <c r="V21" s="40">
        <f>U21/288</f>
        <v>41.25</v>
      </c>
      <c r="W21" s="37">
        <v>14950</v>
      </c>
      <c r="X21" s="40">
        <f>W21*1.08</f>
        <v>16146.000000000002</v>
      </c>
      <c r="Y21" s="44">
        <f>X21/288</f>
        <v>56.062500000000007</v>
      </c>
      <c r="Z21" s="37">
        <v>14500</v>
      </c>
      <c r="AA21" s="40">
        <f>Z21*1.08</f>
        <v>15660.000000000002</v>
      </c>
      <c r="AB21" s="40">
        <f>AA21/288</f>
        <v>54.375000000000007</v>
      </c>
      <c r="AC21" s="37">
        <v>8500</v>
      </c>
      <c r="AD21" s="40">
        <f>AC21*1.08</f>
        <v>9180</v>
      </c>
      <c r="AE21" s="44">
        <f>AD21/288</f>
        <v>31.875</v>
      </c>
      <c r="AF21" s="37">
        <v>8667</v>
      </c>
      <c r="AG21" s="40">
        <f>AF21*1.08</f>
        <v>9360.36</v>
      </c>
      <c r="AH21" s="44">
        <f>AG21/288</f>
        <v>32.501249999999999</v>
      </c>
    </row>
    <row r="22" spans="2:34" ht="20" x14ac:dyDescent="0.25">
      <c r="B22" s="7" t="s">
        <v>5</v>
      </c>
      <c r="C22" s="13" t="s">
        <v>65</v>
      </c>
      <c r="D22" s="21" t="s">
        <v>0</v>
      </c>
      <c r="E22" s="45">
        <v>126667</v>
      </c>
      <c r="F22" s="36">
        <f>E22*1.08</f>
        <v>136800.36000000002</v>
      </c>
      <c r="G22" s="46">
        <f>F22/288</f>
        <v>475.00125000000003</v>
      </c>
      <c r="H22" s="36">
        <f t="shared" si="3"/>
        <v>147500</v>
      </c>
      <c r="I22" s="36">
        <v>159300</v>
      </c>
      <c r="J22" s="46">
        <f t="shared" si="0"/>
        <v>553.125</v>
      </c>
      <c r="K22" s="33">
        <f>L22/1.08</f>
        <v>143750</v>
      </c>
      <c r="L22" s="36">
        <v>155250</v>
      </c>
      <c r="M22" s="47">
        <f t="shared" si="1"/>
        <v>539.0625</v>
      </c>
      <c r="N22" s="45">
        <f>O22/1.08</f>
        <v>187500</v>
      </c>
      <c r="O22" s="36">
        <v>202500</v>
      </c>
      <c r="P22" s="47">
        <f t="shared" si="2"/>
        <v>703.125</v>
      </c>
      <c r="Q22" s="45">
        <f>R22/1.08</f>
        <v>141666.66666666666</v>
      </c>
      <c r="R22" s="36">
        <f>459000/3</f>
        <v>153000</v>
      </c>
      <c r="S22" s="48">
        <f t="shared" si="4"/>
        <v>531.25</v>
      </c>
      <c r="T22" s="45">
        <v>130499.99999999999</v>
      </c>
      <c r="U22" s="36">
        <f>T22*1.08</f>
        <v>140940</v>
      </c>
      <c r="V22" s="36">
        <f>U22/288</f>
        <v>489.375</v>
      </c>
      <c r="W22" s="45">
        <v>126249.99999999999</v>
      </c>
      <c r="X22" s="36">
        <f>W22*1.08</f>
        <v>136350</v>
      </c>
      <c r="Y22" s="49">
        <f>X22/288</f>
        <v>473.4375</v>
      </c>
      <c r="Z22" s="45">
        <v>110000</v>
      </c>
      <c r="AA22" s="36">
        <f>Z22*1.08</f>
        <v>118800.00000000001</v>
      </c>
      <c r="AB22" s="36">
        <f>AA22/288</f>
        <v>412.50000000000006</v>
      </c>
      <c r="AC22" s="45">
        <v>77500</v>
      </c>
      <c r="AD22" s="36">
        <f>AC22*1.08</f>
        <v>83700</v>
      </c>
      <c r="AE22" s="49">
        <f>AD22/288</f>
        <v>290.625</v>
      </c>
      <c r="AF22" s="45">
        <v>63499.999999999993</v>
      </c>
      <c r="AG22" s="36">
        <f>AF22*1.08</f>
        <v>68580</v>
      </c>
      <c r="AH22" s="49">
        <f>AG22/288</f>
        <v>238.125</v>
      </c>
    </row>
    <row r="23" spans="2:34" ht="20" x14ac:dyDescent="0.25">
      <c r="B23" s="7" t="s">
        <v>5</v>
      </c>
      <c r="C23" s="13" t="s">
        <v>17</v>
      </c>
      <c r="D23" s="21" t="s">
        <v>0</v>
      </c>
      <c r="E23" s="45">
        <v>142500</v>
      </c>
      <c r="F23" s="36">
        <f>E23*1.08</f>
        <v>153900</v>
      </c>
      <c r="G23" s="46">
        <f>F23/288</f>
        <v>534.375</v>
      </c>
      <c r="H23" s="36">
        <f t="shared" si="3"/>
        <v>119999.99999999999</v>
      </c>
      <c r="I23" s="36">
        <v>129600</v>
      </c>
      <c r="J23" s="46">
        <f t="shared" si="0"/>
        <v>450</v>
      </c>
      <c r="K23" s="33">
        <f>L23/1.08</f>
        <v>145000</v>
      </c>
      <c r="L23" s="36">
        <v>156600</v>
      </c>
      <c r="M23" s="47">
        <f t="shared" si="1"/>
        <v>543.75</v>
      </c>
      <c r="N23" s="45">
        <f>O23/1.08</f>
        <v>180000</v>
      </c>
      <c r="O23" s="36">
        <v>194400</v>
      </c>
      <c r="P23" s="47">
        <f t="shared" si="2"/>
        <v>675</v>
      </c>
      <c r="Q23" s="45">
        <f>R23/1.08</f>
        <v>123499.99999999999</v>
      </c>
      <c r="R23" s="36">
        <f>266760/2</f>
        <v>133380</v>
      </c>
      <c r="S23" s="48">
        <f t="shared" si="4"/>
        <v>463.125</v>
      </c>
      <c r="T23" s="45">
        <v>95600</v>
      </c>
      <c r="U23" s="36">
        <f>T23*1.08</f>
        <v>103248</v>
      </c>
      <c r="V23" s="36">
        <f>U23/288</f>
        <v>358.5</v>
      </c>
      <c r="W23" s="45">
        <v>120000</v>
      </c>
      <c r="X23" s="36">
        <f>W23*1.08</f>
        <v>129600.00000000001</v>
      </c>
      <c r="Y23" s="49">
        <f>X23/288</f>
        <v>450.00000000000006</v>
      </c>
      <c r="Z23" s="45">
        <v>100833</v>
      </c>
      <c r="AA23" s="36">
        <f>Z23*1.08</f>
        <v>108899.64000000001</v>
      </c>
      <c r="AB23" s="36">
        <f>AA23/288</f>
        <v>378.12375000000003</v>
      </c>
      <c r="AC23" s="45">
        <v>72333</v>
      </c>
      <c r="AD23" s="36">
        <f>AC23*1.08</f>
        <v>78119.64</v>
      </c>
      <c r="AE23" s="49">
        <f>AD23/288</f>
        <v>271.24874999999997</v>
      </c>
      <c r="AF23" s="45">
        <v>56667</v>
      </c>
      <c r="AG23" s="36">
        <f>AF23*1.08</f>
        <v>61200.36</v>
      </c>
      <c r="AH23" s="49">
        <f>AG23/288</f>
        <v>212.50125</v>
      </c>
    </row>
    <row r="24" spans="2:34" ht="20" x14ac:dyDescent="0.25">
      <c r="B24" s="7" t="s">
        <v>5</v>
      </c>
      <c r="C24" s="13" t="s">
        <v>66</v>
      </c>
      <c r="D24" s="21" t="s">
        <v>0</v>
      </c>
      <c r="E24" s="45">
        <v>167500</v>
      </c>
      <c r="F24" s="36">
        <f>E24*1.08</f>
        <v>180900</v>
      </c>
      <c r="G24" s="46">
        <f>F24/288</f>
        <v>628.125</v>
      </c>
      <c r="H24" s="45">
        <v>0</v>
      </c>
      <c r="I24" s="36">
        <v>0</v>
      </c>
      <c r="J24" s="48">
        <v>0</v>
      </c>
      <c r="K24" s="45">
        <v>0</v>
      </c>
      <c r="L24" s="36">
        <v>0</v>
      </c>
      <c r="M24" s="36">
        <v>0</v>
      </c>
      <c r="N24" s="45">
        <f>O24/1.08</f>
        <v>0</v>
      </c>
      <c r="O24" s="36"/>
      <c r="P24" s="47"/>
      <c r="Q24" s="45">
        <f>R24/1.08</f>
        <v>0</v>
      </c>
      <c r="R24" s="36">
        <v>0</v>
      </c>
      <c r="S24" s="49">
        <v>0</v>
      </c>
      <c r="T24" s="45">
        <v>0</v>
      </c>
      <c r="U24" s="36">
        <f>T24*1.08</f>
        <v>0</v>
      </c>
      <c r="V24" s="36">
        <f>U24/288</f>
        <v>0</v>
      </c>
      <c r="W24" s="45">
        <v>0</v>
      </c>
      <c r="X24" s="36">
        <f>W24*1.08</f>
        <v>0</v>
      </c>
      <c r="Y24" s="49">
        <f>X24/288</f>
        <v>0</v>
      </c>
      <c r="Z24" s="45">
        <v>0</v>
      </c>
      <c r="AA24" s="36">
        <f>Z24*1.08</f>
        <v>0</v>
      </c>
      <c r="AB24" s="36">
        <f>AA24/288</f>
        <v>0</v>
      </c>
      <c r="AC24" s="45">
        <v>0</v>
      </c>
      <c r="AD24" s="36">
        <f>AC24*1.08</f>
        <v>0</v>
      </c>
      <c r="AE24" s="49">
        <v>0</v>
      </c>
      <c r="AF24" s="45">
        <v>0</v>
      </c>
      <c r="AG24" s="36">
        <f>AF24*1.08</f>
        <v>0</v>
      </c>
      <c r="AH24" s="49">
        <f>AG24/288</f>
        <v>0</v>
      </c>
    </row>
    <row r="25" spans="2:34" ht="20" x14ac:dyDescent="0.25">
      <c r="B25" s="6" t="s">
        <v>6</v>
      </c>
      <c r="C25" s="12" t="s">
        <v>18</v>
      </c>
      <c r="D25" s="22" t="s">
        <v>0</v>
      </c>
      <c r="E25" s="37">
        <v>57600</v>
      </c>
      <c r="F25" s="38">
        <f>E25*1.08</f>
        <v>62208.000000000007</v>
      </c>
      <c r="G25" s="39">
        <f>F25/288</f>
        <v>216.00000000000003</v>
      </c>
      <c r="H25" s="40">
        <f t="shared" si="3"/>
        <v>43000</v>
      </c>
      <c r="I25" s="40">
        <v>46440</v>
      </c>
      <c r="J25" s="39">
        <f t="shared" si="0"/>
        <v>161.25</v>
      </c>
      <c r="K25" s="38">
        <f>L25/1.08</f>
        <v>36142.592592592591</v>
      </c>
      <c r="L25" s="40">
        <v>39034</v>
      </c>
      <c r="M25" s="41">
        <f t="shared" si="1"/>
        <v>135.53472222222223</v>
      </c>
      <c r="N25" s="37">
        <f>O25/1.08</f>
        <v>55713.888888888883</v>
      </c>
      <c r="O25" s="40">
        <v>60171</v>
      </c>
      <c r="P25" s="41">
        <f t="shared" si="2"/>
        <v>208.92708333333334</v>
      </c>
      <c r="Q25" s="37">
        <f>R25/1.08</f>
        <v>49222.222222222219</v>
      </c>
      <c r="R25" s="40">
        <f>478440/9</f>
        <v>53160</v>
      </c>
      <c r="S25" s="43">
        <f t="shared" si="4"/>
        <v>184.58333333333334</v>
      </c>
      <c r="T25" s="37">
        <v>31999.999999999996</v>
      </c>
      <c r="U25" s="40">
        <f>T25*1.08</f>
        <v>34560</v>
      </c>
      <c r="V25" s="40">
        <f>U25/288</f>
        <v>120</v>
      </c>
      <c r="W25" s="37">
        <v>26067</v>
      </c>
      <c r="X25" s="40">
        <f>W25*1.08</f>
        <v>28152.36</v>
      </c>
      <c r="Y25" s="44">
        <f>X25/288</f>
        <v>97.751249999999999</v>
      </c>
      <c r="Z25" s="37">
        <v>19249</v>
      </c>
      <c r="AA25" s="40">
        <f>Z25*1.08</f>
        <v>20788.920000000002</v>
      </c>
      <c r="AB25" s="40">
        <f>AA25/288</f>
        <v>72.183750000000003</v>
      </c>
      <c r="AC25" s="37">
        <v>23333</v>
      </c>
      <c r="AD25" s="40">
        <f>AC25*1.08</f>
        <v>25199.640000000003</v>
      </c>
      <c r="AE25" s="44">
        <f>AD25/288</f>
        <v>87.498750000000015</v>
      </c>
      <c r="AF25" s="37">
        <v>15999.999999999998</v>
      </c>
      <c r="AG25" s="40">
        <f>AF25*1.08</f>
        <v>17280</v>
      </c>
      <c r="AH25" s="44">
        <f>AG25/288</f>
        <v>60</v>
      </c>
    </row>
    <row r="26" spans="2:34" ht="20" x14ac:dyDescent="0.25">
      <c r="B26" s="6" t="s">
        <v>6</v>
      </c>
      <c r="C26" s="12" t="s">
        <v>42</v>
      </c>
      <c r="D26" s="22" t="s">
        <v>0</v>
      </c>
      <c r="E26" s="37">
        <v>154333</v>
      </c>
      <c r="F26" s="38">
        <f>E26*1.08</f>
        <v>166679.64000000001</v>
      </c>
      <c r="G26" s="39">
        <f>F26/288</f>
        <v>578.74875000000009</v>
      </c>
      <c r="H26" s="40">
        <f t="shared" si="3"/>
        <v>104600</v>
      </c>
      <c r="I26" s="40">
        <v>112968</v>
      </c>
      <c r="J26" s="39">
        <f t="shared" si="0"/>
        <v>392.25</v>
      </c>
      <c r="K26" s="38">
        <f>L26/1.08</f>
        <v>124999.99999999999</v>
      </c>
      <c r="L26" s="40">
        <v>135000</v>
      </c>
      <c r="M26" s="41">
        <f t="shared" si="1"/>
        <v>468.75</v>
      </c>
      <c r="N26" s="37">
        <f>O26/1.08</f>
        <v>133333.33333333331</v>
      </c>
      <c r="O26" s="40">
        <v>144000</v>
      </c>
      <c r="P26" s="41">
        <f t="shared" si="2"/>
        <v>500</v>
      </c>
      <c r="Q26" s="37">
        <f>R26/1.08</f>
        <v>100000</v>
      </c>
      <c r="R26" s="40">
        <f>216000/2</f>
        <v>108000</v>
      </c>
      <c r="S26" s="43">
        <f t="shared" si="4"/>
        <v>375</v>
      </c>
      <c r="T26" s="37">
        <v>48493</v>
      </c>
      <c r="U26" s="40">
        <f>T26*1.08</f>
        <v>52372.44</v>
      </c>
      <c r="V26" s="40">
        <f>U26/288</f>
        <v>181.84875</v>
      </c>
      <c r="W26" s="37">
        <v>67500</v>
      </c>
      <c r="X26" s="40">
        <f>W26*1.08</f>
        <v>72900</v>
      </c>
      <c r="Y26" s="44">
        <f>X26/288</f>
        <v>253.125</v>
      </c>
      <c r="Z26" s="37">
        <v>56125</v>
      </c>
      <c r="AA26" s="40">
        <f>Z26*1.08</f>
        <v>60615.000000000007</v>
      </c>
      <c r="AB26" s="40">
        <f>AA26/288</f>
        <v>210.46875000000003</v>
      </c>
      <c r="AC26" s="37">
        <v>52500</v>
      </c>
      <c r="AD26" s="40">
        <f>AC26*1.08</f>
        <v>56700.000000000007</v>
      </c>
      <c r="AE26" s="44">
        <f>AD26/288</f>
        <v>196.87500000000003</v>
      </c>
      <c r="AF26" s="37">
        <v>40667</v>
      </c>
      <c r="AG26" s="40">
        <f>AF26*1.08</f>
        <v>43920.36</v>
      </c>
      <c r="AH26" s="44">
        <f>AG26/288</f>
        <v>152.50125</v>
      </c>
    </row>
    <row r="27" spans="2:34" ht="20" x14ac:dyDescent="0.25">
      <c r="B27" s="7" t="s">
        <v>5</v>
      </c>
      <c r="C27" s="13" t="s">
        <v>20</v>
      </c>
      <c r="D27" s="21" t="s">
        <v>0</v>
      </c>
      <c r="E27" s="45">
        <v>47500</v>
      </c>
      <c r="F27" s="36">
        <f>E27*1.08</f>
        <v>51300</v>
      </c>
      <c r="G27" s="46">
        <f>F27/288</f>
        <v>178.125</v>
      </c>
      <c r="H27" s="36">
        <f t="shared" si="3"/>
        <v>56249.999999999993</v>
      </c>
      <c r="I27" s="36">
        <v>60750</v>
      </c>
      <c r="J27" s="46">
        <f t="shared" si="0"/>
        <v>210.9375</v>
      </c>
      <c r="K27" s="33">
        <f>L27/1.08</f>
        <v>43500</v>
      </c>
      <c r="L27" s="36">
        <v>46980</v>
      </c>
      <c r="M27" s="47">
        <f t="shared" si="1"/>
        <v>163.125</v>
      </c>
      <c r="N27" s="45">
        <f>O27/1.08</f>
        <v>42187.037037037036</v>
      </c>
      <c r="O27" s="36">
        <v>45562</v>
      </c>
      <c r="P27" s="47">
        <f t="shared" si="2"/>
        <v>158.20138888888889</v>
      </c>
      <c r="Q27" s="45">
        <f>R27/1.08</f>
        <v>64666.666666666664</v>
      </c>
      <c r="R27" s="36">
        <f>209520/3</f>
        <v>69840</v>
      </c>
      <c r="S27" s="48">
        <f t="shared" si="4"/>
        <v>242.5</v>
      </c>
      <c r="T27" s="45">
        <v>36624</v>
      </c>
      <c r="U27" s="36">
        <f>T27*1.08</f>
        <v>39553.920000000006</v>
      </c>
      <c r="V27" s="36">
        <f>U27/288</f>
        <v>137.34000000000003</v>
      </c>
      <c r="W27" s="45">
        <v>34857</v>
      </c>
      <c r="X27" s="36">
        <f>W27*1.08</f>
        <v>37645.560000000005</v>
      </c>
      <c r="Y27" s="49">
        <f>X27/288</f>
        <v>130.71375</v>
      </c>
      <c r="Z27" s="45">
        <v>42900</v>
      </c>
      <c r="AA27" s="36">
        <f>Z27*1.08</f>
        <v>46332</v>
      </c>
      <c r="AB27" s="36">
        <f>AA27/288</f>
        <v>160.875</v>
      </c>
      <c r="AC27" s="45">
        <v>35556</v>
      </c>
      <c r="AD27" s="36">
        <f>AC27*1.08</f>
        <v>38400.480000000003</v>
      </c>
      <c r="AE27" s="49">
        <f>AD27/288</f>
        <v>133.33500000000001</v>
      </c>
      <c r="AF27" s="45">
        <v>22583</v>
      </c>
      <c r="AG27" s="36">
        <f>AF27*1.08</f>
        <v>24389.640000000003</v>
      </c>
      <c r="AH27" s="49">
        <f>AG27/288</f>
        <v>84.686250000000015</v>
      </c>
    </row>
    <row r="28" spans="2:34" ht="20" x14ac:dyDescent="0.25">
      <c r="B28" s="7" t="s">
        <v>5</v>
      </c>
      <c r="C28" s="13" t="s">
        <v>67</v>
      </c>
      <c r="D28" s="21" t="s">
        <v>0</v>
      </c>
      <c r="E28" s="45">
        <v>38405</v>
      </c>
      <c r="F28" s="36">
        <f>E28*1.08</f>
        <v>41477.4</v>
      </c>
      <c r="G28" s="46">
        <f>F28/288</f>
        <v>144.01875000000001</v>
      </c>
      <c r="H28" s="36">
        <f t="shared" si="3"/>
        <v>34800</v>
      </c>
      <c r="I28" s="36">
        <v>37584</v>
      </c>
      <c r="J28" s="46">
        <f t="shared" si="0"/>
        <v>130.5</v>
      </c>
      <c r="K28" s="33">
        <f>L28/1.08</f>
        <v>37560.185185185182</v>
      </c>
      <c r="L28" s="36">
        <v>40565</v>
      </c>
      <c r="M28" s="47">
        <f t="shared" si="1"/>
        <v>140.85069444444446</v>
      </c>
      <c r="N28" s="45">
        <f>O28/1.08</f>
        <v>47439.81481481481</v>
      </c>
      <c r="O28" s="36">
        <v>51235</v>
      </c>
      <c r="P28" s="47">
        <f t="shared" si="2"/>
        <v>177.89930555555554</v>
      </c>
      <c r="Q28" s="45">
        <f>R28/1.08</f>
        <v>42000</v>
      </c>
      <c r="R28" s="36">
        <f>408240/9</f>
        <v>45360</v>
      </c>
      <c r="S28" s="48">
        <f t="shared" si="4"/>
        <v>157.5</v>
      </c>
      <c r="T28" s="45">
        <v>26470</v>
      </c>
      <c r="U28" s="36">
        <f>T28*1.08</f>
        <v>28587.600000000002</v>
      </c>
      <c r="V28" s="36">
        <f>U28/288</f>
        <v>99.262500000000003</v>
      </c>
      <c r="W28" s="45">
        <v>26376</v>
      </c>
      <c r="X28" s="36">
        <f>W28*1.08</f>
        <v>28486.080000000002</v>
      </c>
      <c r="Y28" s="49">
        <f>X28/288</f>
        <v>98.910000000000011</v>
      </c>
      <c r="Z28" s="45">
        <v>22346</v>
      </c>
      <c r="AA28" s="36">
        <f>Z28*1.08</f>
        <v>24133.68</v>
      </c>
      <c r="AB28" s="36">
        <f>AA28/288</f>
        <v>83.797499999999999</v>
      </c>
      <c r="AC28" s="45">
        <v>16326.999999999998</v>
      </c>
      <c r="AD28" s="36">
        <f>AC28*1.08</f>
        <v>17633.16</v>
      </c>
      <c r="AE28" s="49">
        <f>AD28/288</f>
        <v>61.22625</v>
      </c>
      <c r="AF28" s="45">
        <v>16453</v>
      </c>
      <c r="AG28" s="36">
        <f>AF28*1.08</f>
        <v>17769.240000000002</v>
      </c>
      <c r="AH28" s="49">
        <f>AG28/288</f>
        <v>61.698750000000004</v>
      </c>
    </row>
    <row r="29" spans="2:34" ht="20" x14ac:dyDescent="0.25">
      <c r="B29" s="7" t="s">
        <v>5</v>
      </c>
      <c r="C29" s="13" t="s">
        <v>21</v>
      </c>
      <c r="D29" s="21" t="s">
        <v>0</v>
      </c>
      <c r="E29" s="45">
        <v>34300</v>
      </c>
      <c r="F29" s="36">
        <f>E29*1.08</f>
        <v>37044</v>
      </c>
      <c r="G29" s="46">
        <f>F29/288</f>
        <v>128.625</v>
      </c>
      <c r="H29" s="36">
        <f t="shared" si="3"/>
        <v>45500</v>
      </c>
      <c r="I29" s="36">
        <v>49140</v>
      </c>
      <c r="J29" s="46">
        <f t="shared" si="0"/>
        <v>170.625</v>
      </c>
      <c r="K29" s="33">
        <f>L29/1.08</f>
        <v>36000</v>
      </c>
      <c r="L29" s="36">
        <v>38880</v>
      </c>
      <c r="M29" s="47">
        <f t="shared" si="1"/>
        <v>135</v>
      </c>
      <c r="N29" s="45">
        <f>O29/1.08</f>
        <v>44000</v>
      </c>
      <c r="O29" s="36">
        <v>47520</v>
      </c>
      <c r="P29" s="47">
        <f t="shared" si="2"/>
        <v>165</v>
      </c>
      <c r="Q29" s="45">
        <f>R29/1.08</f>
        <v>43402.777777777774</v>
      </c>
      <c r="R29" s="36">
        <v>46875</v>
      </c>
      <c r="S29" s="48">
        <f t="shared" si="4"/>
        <v>162.76041666666666</v>
      </c>
      <c r="T29" s="45">
        <v>29500</v>
      </c>
      <c r="U29" s="36">
        <f>T29*1.08</f>
        <v>31860.000000000004</v>
      </c>
      <c r="V29" s="36">
        <f>U29/288</f>
        <v>110.62500000000001</v>
      </c>
      <c r="W29" s="45">
        <v>27350</v>
      </c>
      <c r="X29" s="36">
        <f>W29*1.08</f>
        <v>29538.000000000004</v>
      </c>
      <c r="Y29" s="49">
        <f>X29/288</f>
        <v>102.56250000000001</v>
      </c>
      <c r="Z29" s="45">
        <v>23363</v>
      </c>
      <c r="AA29" s="36">
        <f>Z29*1.08</f>
        <v>25232.04</v>
      </c>
      <c r="AB29" s="36">
        <f>AA29/288</f>
        <v>87.611249999999998</v>
      </c>
      <c r="AC29" s="45">
        <v>20269</v>
      </c>
      <c r="AD29" s="36">
        <f>AC29*1.08</f>
        <v>21890.52</v>
      </c>
      <c r="AE29" s="49">
        <f>AD29/288</f>
        <v>76.008750000000006</v>
      </c>
      <c r="AF29" s="45">
        <v>13964</v>
      </c>
      <c r="AG29" s="36">
        <f>AF29*1.08</f>
        <v>15081.12</v>
      </c>
      <c r="AH29" s="49">
        <f>AG29/288</f>
        <v>52.365000000000002</v>
      </c>
    </row>
    <row r="30" spans="2:34" ht="20" x14ac:dyDescent="0.25">
      <c r="B30" s="7" t="s">
        <v>5</v>
      </c>
      <c r="C30" s="13" t="s">
        <v>68</v>
      </c>
      <c r="D30" s="21" t="s">
        <v>0</v>
      </c>
      <c r="E30" s="45">
        <v>40375</v>
      </c>
      <c r="F30" s="36">
        <f>E30*1.08</f>
        <v>43605</v>
      </c>
      <c r="G30" s="46">
        <f>F30/288</f>
        <v>151.40625</v>
      </c>
      <c r="H30" s="36">
        <f t="shared" si="3"/>
        <v>47500</v>
      </c>
      <c r="I30" s="36">
        <v>51300</v>
      </c>
      <c r="J30" s="46">
        <f t="shared" si="0"/>
        <v>178.125</v>
      </c>
      <c r="K30" s="33">
        <f>L30/1.08</f>
        <v>43071.296296296292</v>
      </c>
      <c r="L30" s="36">
        <v>46517</v>
      </c>
      <c r="M30" s="47">
        <f t="shared" si="1"/>
        <v>161.51736111111111</v>
      </c>
      <c r="N30" s="45">
        <f>O30/1.08</f>
        <v>53846.296296296292</v>
      </c>
      <c r="O30" s="36">
        <v>58154</v>
      </c>
      <c r="P30" s="47">
        <f t="shared" si="2"/>
        <v>201.92361111111111</v>
      </c>
      <c r="Q30" s="45">
        <f>R30/1.08</f>
        <v>0</v>
      </c>
      <c r="R30" s="36">
        <v>0</v>
      </c>
      <c r="S30" s="49">
        <v>0</v>
      </c>
      <c r="T30" s="45">
        <v>0</v>
      </c>
      <c r="U30" s="36">
        <f>T30*1.08</f>
        <v>0</v>
      </c>
      <c r="V30" s="36">
        <f>U30/288</f>
        <v>0</v>
      </c>
      <c r="W30" s="45">
        <v>0</v>
      </c>
      <c r="X30" s="36">
        <f>W30*1.08</f>
        <v>0</v>
      </c>
      <c r="Y30" s="49">
        <f>X30/288</f>
        <v>0</v>
      </c>
      <c r="Z30" s="45">
        <v>0</v>
      </c>
      <c r="AA30" s="36">
        <f>Z30*1.08</f>
        <v>0</v>
      </c>
      <c r="AB30" s="36">
        <f>AA30/288</f>
        <v>0</v>
      </c>
      <c r="AC30" s="45">
        <v>0</v>
      </c>
      <c r="AD30" s="36">
        <f>AC30*1.08</f>
        <v>0</v>
      </c>
      <c r="AE30" s="49">
        <f>AD30/288</f>
        <v>0</v>
      </c>
      <c r="AF30" s="45">
        <v>0</v>
      </c>
      <c r="AG30" s="36">
        <f>AF30*1.08</f>
        <v>0</v>
      </c>
      <c r="AH30" s="49">
        <f>AG30/288</f>
        <v>0</v>
      </c>
    </row>
    <row r="31" spans="2:34" ht="20" x14ac:dyDescent="0.25">
      <c r="B31" s="6" t="s">
        <v>6</v>
      </c>
      <c r="C31" s="12" t="s">
        <v>19</v>
      </c>
      <c r="D31" s="22" t="s">
        <v>0</v>
      </c>
      <c r="E31" s="37">
        <v>118000</v>
      </c>
      <c r="F31" s="38">
        <f>E31*1.08</f>
        <v>127440.00000000001</v>
      </c>
      <c r="G31" s="39">
        <f>F31/288</f>
        <v>442.50000000000006</v>
      </c>
      <c r="H31" s="40">
        <f t="shared" si="3"/>
        <v>112499.99999999999</v>
      </c>
      <c r="I31" s="40">
        <v>121500</v>
      </c>
      <c r="J31" s="39">
        <f t="shared" si="0"/>
        <v>421.875</v>
      </c>
      <c r="K31" s="38">
        <f>L31/1.08</f>
        <v>113333.33333333333</v>
      </c>
      <c r="L31" s="40">
        <v>122400</v>
      </c>
      <c r="M31" s="41">
        <f t="shared" si="1"/>
        <v>425</v>
      </c>
      <c r="N31" s="37">
        <f>O31/1.08</f>
        <v>206666.66666666666</v>
      </c>
      <c r="O31" s="40">
        <v>223200</v>
      </c>
      <c r="P31" s="41">
        <f t="shared" si="2"/>
        <v>775</v>
      </c>
      <c r="Q31" s="37">
        <f>R31/1.08</f>
        <v>180000</v>
      </c>
      <c r="R31" s="40">
        <v>194400</v>
      </c>
      <c r="S31" s="43">
        <f t="shared" ref="S31:S60" si="5">R31/288</f>
        <v>675</v>
      </c>
      <c r="T31" s="37">
        <v>47250</v>
      </c>
      <c r="U31" s="40">
        <f>T31*1.08</f>
        <v>51030</v>
      </c>
      <c r="V31" s="40">
        <f>U31/288</f>
        <v>177.1875</v>
      </c>
      <c r="W31" s="37">
        <v>55000</v>
      </c>
      <c r="X31" s="40">
        <f>W31*1.08</f>
        <v>59400.000000000007</v>
      </c>
      <c r="Y31" s="44">
        <f>X31/288</f>
        <v>206.25000000000003</v>
      </c>
      <c r="Z31" s="37">
        <v>52000</v>
      </c>
      <c r="AA31" s="40">
        <f>Z31*1.08</f>
        <v>56160.000000000007</v>
      </c>
      <c r="AB31" s="40">
        <f>AA31/288</f>
        <v>195.00000000000003</v>
      </c>
      <c r="AC31" s="37">
        <v>46000</v>
      </c>
      <c r="AD31" s="40">
        <f>AC31*1.08</f>
        <v>49680</v>
      </c>
      <c r="AE31" s="44">
        <f>AD31/288</f>
        <v>172.5</v>
      </c>
      <c r="AF31" s="37">
        <v>28250</v>
      </c>
      <c r="AG31" s="40">
        <f>AF31*1.08</f>
        <v>30510.000000000004</v>
      </c>
      <c r="AH31" s="44">
        <f>AG31/288</f>
        <v>105.93750000000001</v>
      </c>
    </row>
    <row r="32" spans="2:34" ht="20" x14ac:dyDescent="0.25">
      <c r="B32" s="6" t="s">
        <v>6</v>
      </c>
      <c r="C32" s="12" t="s">
        <v>43</v>
      </c>
      <c r="D32" s="22" t="s">
        <v>0</v>
      </c>
      <c r="E32" s="37">
        <v>66500</v>
      </c>
      <c r="F32" s="38">
        <f>E32*1.08</f>
        <v>71820</v>
      </c>
      <c r="G32" s="39">
        <f>F32/288</f>
        <v>249.375</v>
      </c>
      <c r="H32" s="38">
        <f t="shared" si="3"/>
        <v>64499.999999999993</v>
      </c>
      <c r="I32" s="40">
        <v>69660</v>
      </c>
      <c r="J32" s="39">
        <f t="shared" si="0"/>
        <v>241.875</v>
      </c>
      <c r="K32" s="38">
        <f>L32/1.08</f>
        <v>70000</v>
      </c>
      <c r="L32" s="40">
        <v>75600</v>
      </c>
      <c r="M32" s="41">
        <f t="shared" si="1"/>
        <v>262.5</v>
      </c>
      <c r="N32" s="37">
        <f>O32/1.08</f>
        <v>69000</v>
      </c>
      <c r="O32" s="40">
        <v>74520</v>
      </c>
      <c r="P32" s="41">
        <f t="shared" si="2"/>
        <v>258.75</v>
      </c>
      <c r="Q32" s="37">
        <f>R32/1.08</f>
        <v>66000</v>
      </c>
      <c r="R32" s="40">
        <f>142560/2</f>
        <v>71280</v>
      </c>
      <c r="S32" s="43">
        <f t="shared" si="5"/>
        <v>247.5</v>
      </c>
      <c r="T32" s="37">
        <v>30125</v>
      </c>
      <c r="U32" s="40">
        <f>T32*1.08</f>
        <v>32535.000000000004</v>
      </c>
      <c r="V32" s="40">
        <f>U32/288</f>
        <v>112.96875000000001</v>
      </c>
      <c r="W32" s="37">
        <v>29667</v>
      </c>
      <c r="X32" s="40">
        <f>W32*1.08</f>
        <v>32040.36</v>
      </c>
      <c r="Y32" s="44">
        <f>X32/288</f>
        <v>111.25125</v>
      </c>
      <c r="Z32" s="37">
        <v>40600</v>
      </c>
      <c r="AA32" s="40">
        <f>Z32*1.08</f>
        <v>43848</v>
      </c>
      <c r="AB32" s="40">
        <f>AA32/288</f>
        <v>152.25</v>
      </c>
      <c r="AC32" s="37">
        <v>30500</v>
      </c>
      <c r="AD32" s="40">
        <f>AC32*1.08</f>
        <v>32940</v>
      </c>
      <c r="AE32" s="44">
        <f>AD32/288</f>
        <v>114.375</v>
      </c>
      <c r="AF32" s="37">
        <v>24750</v>
      </c>
      <c r="AG32" s="40">
        <f>AF32*1.08</f>
        <v>26730</v>
      </c>
      <c r="AH32" s="44">
        <f>AG32/288</f>
        <v>92.8125</v>
      </c>
    </row>
    <row r="33" spans="2:34" ht="20" x14ac:dyDescent="0.25">
      <c r="B33" s="7" t="s">
        <v>5</v>
      </c>
      <c r="C33" s="13" t="s">
        <v>44</v>
      </c>
      <c r="D33" s="21" t="s">
        <v>0</v>
      </c>
      <c r="E33" s="45">
        <v>166000</v>
      </c>
      <c r="F33" s="36">
        <f>E33*1.08</f>
        <v>179280</v>
      </c>
      <c r="G33" s="46">
        <f>F33/288</f>
        <v>622.5</v>
      </c>
      <c r="H33" s="36">
        <f t="shared" si="3"/>
        <v>151666.66666666666</v>
      </c>
      <c r="I33" s="36">
        <v>163800</v>
      </c>
      <c r="J33" s="46">
        <f t="shared" si="0"/>
        <v>568.75</v>
      </c>
      <c r="K33" s="33">
        <f>L33/1.08</f>
        <v>118571.29629629629</v>
      </c>
      <c r="L33" s="36">
        <v>128057</v>
      </c>
      <c r="M33" s="47">
        <f t="shared" si="1"/>
        <v>444.64236111111109</v>
      </c>
      <c r="N33" s="45">
        <f>O33/1.08</f>
        <v>153750</v>
      </c>
      <c r="O33" s="36">
        <v>166050</v>
      </c>
      <c r="P33" s="47">
        <f t="shared" si="2"/>
        <v>576.5625</v>
      </c>
      <c r="Q33" s="45">
        <f>R33/1.08</f>
        <v>163750</v>
      </c>
      <c r="R33" s="36">
        <f>707400/4</f>
        <v>176850</v>
      </c>
      <c r="S33" s="48">
        <f t="shared" si="5"/>
        <v>614.0625</v>
      </c>
      <c r="T33" s="45">
        <v>93166</v>
      </c>
      <c r="U33" s="36">
        <f>T33*1.08</f>
        <v>100619.28000000001</v>
      </c>
      <c r="V33" s="36">
        <f>U33/288</f>
        <v>349.37250000000006</v>
      </c>
      <c r="W33" s="45">
        <v>88620</v>
      </c>
      <c r="X33" s="36">
        <f>W33*1.08</f>
        <v>95709.6</v>
      </c>
      <c r="Y33" s="49">
        <f>X33/288</f>
        <v>332.32500000000005</v>
      </c>
      <c r="Z33" s="45">
        <v>67000</v>
      </c>
      <c r="AA33" s="36">
        <f>Z33*1.08</f>
        <v>72360</v>
      </c>
      <c r="AB33" s="36">
        <f>AA33/288</f>
        <v>251.25</v>
      </c>
      <c r="AC33" s="45">
        <v>59714</v>
      </c>
      <c r="AD33" s="36">
        <f>AC33*1.08</f>
        <v>64491.12</v>
      </c>
      <c r="AE33" s="49">
        <f>AD33/288</f>
        <v>223.92750000000001</v>
      </c>
      <c r="AF33" s="45">
        <v>41700</v>
      </c>
      <c r="AG33" s="36">
        <f>AF33*1.08</f>
        <v>45036</v>
      </c>
      <c r="AH33" s="49">
        <f>AG33/288</f>
        <v>156.375</v>
      </c>
    </row>
    <row r="34" spans="2:34" ht="20" x14ac:dyDescent="0.25">
      <c r="B34" s="7" t="s">
        <v>5</v>
      </c>
      <c r="C34" s="13" t="s">
        <v>45</v>
      </c>
      <c r="D34" s="21" t="s">
        <v>0</v>
      </c>
      <c r="E34" s="45">
        <v>133751</v>
      </c>
      <c r="F34" s="36">
        <f>E34*1.08</f>
        <v>144451.08000000002</v>
      </c>
      <c r="G34" s="46">
        <f>F34/288</f>
        <v>501.56625000000008</v>
      </c>
      <c r="H34" s="36">
        <f t="shared" si="3"/>
        <v>140000</v>
      </c>
      <c r="I34" s="36">
        <v>151200</v>
      </c>
      <c r="J34" s="46">
        <f t="shared" si="0"/>
        <v>525</v>
      </c>
      <c r="K34" s="33">
        <f>L34/1.08</f>
        <v>129399.99999999999</v>
      </c>
      <c r="L34" s="36">
        <v>139752</v>
      </c>
      <c r="M34" s="47">
        <f t="shared" si="1"/>
        <v>485.25</v>
      </c>
      <c r="N34" s="45">
        <f>O34/1.08</f>
        <v>141904.62962962961</v>
      </c>
      <c r="O34" s="36">
        <v>153257</v>
      </c>
      <c r="P34" s="47">
        <f t="shared" si="2"/>
        <v>532.14236111111109</v>
      </c>
      <c r="Q34" s="45">
        <f>R34/1.08</f>
        <v>126666.66666666666</v>
      </c>
      <c r="R34" s="36">
        <f>(1976400+75600)/15</f>
        <v>136800</v>
      </c>
      <c r="S34" s="48">
        <f t="shared" si="5"/>
        <v>475</v>
      </c>
      <c r="T34" s="45">
        <v>85400</v>
      </c>
      <c r="U34" s="36">
        <f>T34*1.08</f>
        <v>92232</v>
      </c>
      <c r="V34" s="36">
        <f>U34/288</f>
        <v>320.25</v>
      </c>
      <c r="W34" s="45">
        <v>81970</v>
      </c>
      <c r="X34" s="36">
        <f>W34*1.08</f>
        <v>88527.6</v>
      </c>
      <c r="Y34" s="49">
        <f>X34/288</f>
        <v>307.38750000000005</v>
      </c>
      <c r="Z34" s="45">
        <v>71238</v>
      </c>
      <c r="AA34" s="36">
        <f>Z34*1.08</f>
        <v>76937.040000000008</v>
      </c>
      <c r="AB34" s="36">
        <f>AA34/288</f>
        <v>267.14250000000004</v>
      </c>
      <c r="AC34" s="45">
        <v>51240</v>
      </c>
      <c r="AD34" s="36">
        <f>AC34*1.08</f>
        <v>55339.200000000004</v>
      </c>
      <c r="AE34" s="49">
        <f>AD34/288</f>
        <v>192.15</v>
      </c>
      <c r="AF34" s="45">
        <v>39569</v>
      </c>
      <c r="AG34" s="36">
        <f>AF34*1.08</f>
        <v>42734.520000000004</v>
      </c>
      <c r="AH34" s="49">
        <f>AG34/288</f>
        <v>148.38375000000002</v>
      </c>
    </row>
    <row r="35" spans="2:34" ht="20" x14ac:dyDescent="0.25">
      <c r="B35" s="6" t="s">
        <v>6</v>
      </c>
      <c r="C35" s="12" t="s">
        <v>22</v>
      </c>
      <c r="D35" s="22" t="s">
        <v>1</v>
      </c>
      <c r="E35" s="37">
        <v>61400</v>
      </c>
      <c r="F35" s="38">
        <f>E35*1.08</f>
        <v>66312</v>
      </c>
      <c r="G35" s="39">
        <f>F35/288</f>
        <v>230.25</v>
      </c>
      <c r="H35" s="40">
        <f t="shared" si="3"/>
        <v>56124.999999999993</v>
      </c>
      <c r="I35" s="40">
        <v>60615</v>
      </c>
      <c r="J35" s="39">
        <f t="shared" si="0"/>
        <v>210.46875</v>
      </c>
      <c r="K35" s="38">
        <f>L35/1.08</f>
        <v>50091.666666666664</v>
      </c>
      <c r="L35" s="40">
        <v>54099</v>
      </c>
      <c r="M35" s="41">
        <f t="shared" si="1"/>
        <v>187.84375</v>
      </c>
      <c r="N35" s="37">
        <f>O35/1.08</f>
        <v>53636.111111111109</v>
      </c>
      <c r="O35" s="40">
        <v>57927</v>
      </c>
      <c r="P35" s="41">
        <f t="shared" si="2"/>
        <v>201.13541666666666</v>
      </c>
      <c r="Q35" s="37">
        <f>R35/1.08</f>
        <v>55000</v>
      </c>
      <c r="R35" s="40">
        <f>178200/3</f>
        <v>59400</v>
      </c>
      <c r="S35" s="43">
        <f t="shared" si="5"/>
        <v>206.25</v>
      </c>
      <c r="T35" s="37">
        <v>26449</v>
      </c>
      <c r="U35" s="40">
        <f>T35*1.08</f>
        <v>28564.920000000002</v>
      </c>
      <c r="V35" s="40">
        <f>U35/288</f>
        <v>99.183750000000003</v>
      </c>
      <c r="W35" s="37">
        <v>22722</v>
      </c>
      <c r="X35" s="40">
        <f>W35*1.08</f>
        <v>24539.760000000002</v>
      </c>
      <c r="Y35" s="44">
        <f>X35/288</f>
        <v>85.20750000000001</v>
      </c>
      <c r="Z35" s="37">
        <v>22883</v>
      </c>
      <c r="AA35" s="40">
        <f>Z35*1.08</f>
        <v>24713.640000000003</v>
      </c>
      <c r="AB35" s="40">
        <f>AA35/288</f>
        <v>85.811250000000015</v>
      </c>
      <c r="AC35" s="37">
        <v>19889</v>
      </c>
      <c r="AD35" s="40">
        <f>AC35*1.08</f>
        <v>21480.120000000003</v>
      </c>
      <c r="AE35" s="44">
        <f>AD35/288</f>
        <v>74.583750000000009</v>
      </c>
      <c r="AF35" s="37">
        <v>17083</v>
      </c>
      <c r="AG35" s="40">
        <f>AF35*1.08</f>
        <v>18449.64</v>
      </c>
      <c r="AH35" s="44">
        <f>AG35/288</f>
        <v>64.061250000000001</v>
      </c>
    </row>
    <row r="36" spans="2:34" ht="20" x14ac:dyDescent="0.25">
      <c r="B36" s="6" t="s">
        <v>6</v>
      </c>
      <c r="C36" s="12" t="s">
        <v>23</v>
      </c>
      <c r="D36" s="22" t="s">
        <v>1</v>
      </c>
      <c r="E36" s="37">
        <v>68833</v>
      </c>
      <c r="F36" s="38">
        <f>E36*1.08</f>
        <v>74339.64</v>
      </c>
      <c r="G36" s="39">
        <f>F36/288</f>
        <v>258.12374999999997</v>
      </c>
      <c r="H36" s="40">
        <f t="shared" si="3"/>
        <v>58999.999999999993</v>
      </c>
      <c r="I36" s="40">
        <v>63720</v>
      </c>
      <c r="J36" s="39">
        <f t="shared" si="0"/>
        <v>221.25</v>
      </c>
      <c r="K36" s="38">
        <f>L36/1.08</f>
        <v>51462.037037037036</v>
      </c>
      <c r="L36" s="40">
        <v>55579</v>
      </c>
      <c r="M36" s="41">
        <f t="shared" si="1"/>
        <v>192.98263888888889</v>
      </c>
      <c r="N36" s="37">
        <f>O36/1.08</f>
        <v>53500</v>
      </c>
      <c r="O36" s="40">
        <v>57780</v>
      </c>
      <c r="P36" s="41">
        <f t="shared" si="2"/>
        <v>200.625</v>
      </c>
      <c r="Q36" s="37">
        <f>R36/1.08</f>
        <v>59333.333333333328</v>
      </c>
      <c r="R36" s="40">
        <f>384480/6</f>
        <v>64080</v>
      </c>
      <c r="S36" s="43">
        <f t="shared" si="5"/>
        <v>222.5</v>
      </c>
      <c r="T36" s="37">
        <v>26443</v>
      </c>
      <c r="U36" s="40">
        <f>T36*1.08</f>
        <v>28558.440000000002</v>
      </c>
      <c r="V36" s="40">
        <f>U36/288</f>
        <v>99.16125000000001</v>
      </c>
      <c r="W36" s="37">
        <v>28000</v>
      </c>
      <c r="X36" s="40">
        <f>W36*1.08</f>
        <v>30240.000000000004</v>
      </c>
      <c r="Y36" s="44">
        <f>X36/288</f>
        <v>105.00000000000001</v>
      </c>
      <c r="Z36" s="37">
        <v>22000</v>
      </c>
      <c r="AA36" s="40">
        <f>Z36*1.08</f>
        <v>23760</v>
      </c>
      <c r="AB36" s="40">
        <f>AA36/288</f>
        <v>82.5</v>
      </c>
      <c r="AC36" s="37">
        <v>19909</v>
      </c>
      <c r="AD36" s="40">
        <f>AC36*1.08</f>
        <v>21501.72</v>
      </c>
      <c r="AE36" s="44">
        <f>AD36/288</f>
        <v>74.658749999999998</v>
      </c>
      <c r="AF36" s="37">
        <v>14350</v>
      </c>
      <c r="AG36" s="40">
        <f>AF36*1.08</f>
        <v>15498.000000000002</v>
      </c>
      <c r="AH36" s="44">
        <f>AG36/288</f>
        <v>53.812500000000007</v>
      </c>
    </row>
    <row r="37" spans="2:34" ht="20" x14ac:dyDescent="0.25">
      <c r="B37" s="6" t="s">
        <v>6</v>
      </c>
      <c r="C37" s="12" t="s">
        <v>24</v>
      </c>
      <c r="D37" s="22" t="s">
        <v>1</v>
      </c>
      <c r="E37" s="37">
        <v>61125</v>
      </c>
      <c r="F37" s="38">
        <f>E37*1.08</f>
        <v>66015</v>
      </c>
      <c r="G37" s="39">
        <f>F37/288</f>
        <v>229.21875</v>
      </c>
      <c r="H37" s="40">
        <f t="shared" si="3"/>
        <v>55454.629629629628</v>
      </c>
      <c r="I37" s="40">
        <v>59891</v>
      </c>
      <c r="J37" s="39">
        <f t="shared" si="0"/>
        <v>207.95486111111111</v>
      </c>
      <c r="K37" s="38">
        <f>L37/1.08</f>
        <v>40944.444444444445</v>
      </c>
      <c r="L37" s="40">
        <v>44220</v>
      </c>
      <c r="M37" s="41">
        <f t="shared" si="1"/>
        <v>153.54166666666666</v>
      </c>
      <c r="N37" s="37">
        <f>O37/1.08</f>
        <v>41857.407407407401</v>
      </c>
      <c r="O37" s="40">
        <v>45206</v>
      </c>
      <c r="P37" s="41">
        <f t="shared" si="2"/>
        <v>156.96527777777777</v>
      </c>
      <c r="Q37" s="37">
        <f>R37/1.08</f>
        <v>47400</v>
      </c>
      <c r="R37" s="40">
        <f>255960/5</f>
        <v>51192</v>
      </c>
      <c r="S37" s="43">
        <f t="shared" si="5"/>
        <v>177.75</v>
      </c>
      <c r="T37" s="37">
        <v>21732</v>
      </c>
      <c r="U37" s="40">
        <f>T37*1.08</f>
        <v>23470.560000000001</v>
      </c>
      <c r="V37" s="40">
        <f>U37/288</f>
        <v>81.495000000000005</v>
      </c>
      <c r="W37" s="37">
        <v>22959</v>
      </c>
      <c r="X37" s="40">
        <f>W37*1.08</f>
        <v>24795.72</v>
      </c>
      <c r="Y37" s="44">
        <f>X37/288</f>
        <v>86.096249999999998</v>
      </c>
      <c r="Z37" s="37">
        <v>16635</v>
      </c>
      <c r="AA37" s="40">
        <f>Z37*1.08</f>
        <v>17965.800000000003</v>
      </c>
      <c r="AB37" s="40">
        <f>AA37/288</f>
        <v>62.381250000000009</v>
      </c>
      <c r="AC37" s="37">
        <v>14889</v>
      </c>
      <c r="AD37" s="40">
        <f>AC37*1.08</f>
        <v>16080.12</v>
      </c>
      <c r="AE37" s="44">
        <f>AD37/288</f>
        <v>55.833750000000002</v>
      </c>
      <c r="AF37" s="37">
        <v>13632</v>
      </c>
      <c r="AG37" s="40">
        <f>AF37*1.08</f>
        <v>14722.560000000001</v>
      </c>
      <c r="AH37" s="44">
        <f>AG37/288</f>
        <v>51.120000000000005</v>
      </c>
    </row>
    <row r="38" spans="2:34" ht="20" x14ac:dyDescent="0.25">
      <c r="B38" s="6" t="s">
        <v>6</v>
      </c>
      <c r="C38" s="12" t="s">
        <v>25</v>
      </c>
      <c r="D38" s="22" t="s">
        <v>1</v>
      </c>
      <c r="E38" s="37">
        <v>62556</v>
      </c>
      <c r="F38" s="38">
        <f>E38*1.08</f>
        <v>67560.48000000001</v>
      </c>
      <c r="G38" s="39">
        <f>F38/288</f>
        <v>234.58500000000004</v>
      </c>
      <c r="H38" s="40">
        <f t="shared" si="3"/>
        <v>54700</v>
      </c>
      <c r="I38" s="40">
        <v>59076</v>
      </c>
      <c r="J38" s="39">
        <f t="shared" si="0"/>
        <v>205.125</v>
      </c>
      <c r="K38" s="38">
        <f>L38/1.08</f>
        <v>53545.370370370365</v>
      </c>
      <c r="L38" s="40">
        <v>57829</v>
      </c>
      <c r="M38" s="41">
        <f t="shared" si="1"/>
        <v>200.79513888888889</v>
      </c>
      <c r="N38" s="37">
        <f>O38/1.08</f>
        <v>52222.222222222219</v>
      </c>
      <c r="O38" s="40">
        <v>56400</v>
      </c>
      <c r="P38" s="41">
        <f t="shared" si="2"/>
        <v>195.83333333333334</v>
      </c>
      <c r="Q38" s="37">
        <f>R38/1.08</f>
        <v>50500</v>
      </c>
      <c r="R38" s="40">
        <f>218160/4</f>
        <v>54540</v>
      </c>
      <c r="S38" s="43">
        <f t="shared" si="5"/>
        <v>189.375</v>
      </c>
      <c r="T38" s="37">
        <v>29749</v>
      </c>
      <c r="U38" s="40">
        <f>T38*1.08</f>
        <v>32128.920000000002</v>
      </c>
      <c r="V38" s="40">
        <f>U38/288</f>
        <v>111.55875</v>
      </c>
      <c r="W38" s="37">
        <v>26389</v>
      </c>
      <c r="X38" s="40">
        <f>W38*1.08</f>
        <v>28500.120000000003</v>
      </c>
      <c r="Y38" s="44">
        <f>X38/288</f>
        <v>98.958750000000009</v>
      </c>
      <c r="Z38" s="37">
        <v>20933</v>
      </c>
      <c r="AA38" s="40">
        <f>Z38*1.08</f>
        <v>22607.640000000003</v>
      </c>
      <c r="AB38" s="40">
        <f>AA38/288</f>
        <v>78.498750000000015</v>
      </c>
      <c r="AC38" s="37">
        <v>16154.000000000002</v>
      </c>
      <c r="AD38" s="40">
        <f>AC38*1.08</f>
        <v>17446.320000000003</v>
      </c>
      <c r="AE38" s="44">
        <f>AD38/288</f>
        <v>60.577500000000015</v>
      </c>
      <c r="AF38" s="37">
        <v>18000</v>
      </c>
      <c r="AG38" s="40">
        <f>AF38*1.08</f>
        <v>19440</v>
      </c>
      <c r="AH38" s="44">
        <f>AG38/288</f>
        <v>67.5</v>
      </c>
    </row>
    <row r="39" spans="2:34" ht="20" x14ac:dyDescent="0.25">
      <c r="B39" s="6" t="s">
        <v>6</v>
      </c>
      <c r="C39" s="12" t="s">
        <v>26</v>
      </c>
      <c r="D39" s="22" t="s">
        <v>1</v>
      </c>
      <c r="E39" s="37">
        <v>62000</v>
      </c>
      <c r="F39" s="38">
        <f>E39*1.08</f>
        <v>66960</v>
      </c>
      <c r="G39" s="39">
        <f>F39/288</f>
        <v>232.5</v>
      </c>
      <c r="H39" s="40">
        <f t="shared" si="3"/>
        <v>57999.999999999993</v>
      </c>
      <c r="I39" s="40">
        <v>62640</v>
      </c>
      <c r="J39" s="39">
        <f t="shared" si="0"/>
        <v>217.5</v>
      </c>
      <c r="K39" s="38">
        <f>L39/1.08</f>
        <v>42250</v>
      </c>
      <c r="L39" s="40">
        <v>45630</v>
      </c>
      <c r="M39" s="41">
        <f t="shared" si="1"/>
        <v>158.4375</v>
      </c>
      <c r="N39" s="37">
        <f>O39/1.08</f>
        <v>45000</v>
      </c>
      <c r="O39" s="40">
        <v>48600</v>
      </c>
      <c r="P39" s="41">
        <f t="shared" si="2"/>
        <v>168.75</v>
      </c>
      <c r="Q39" s="37">
        <f>R39/1.08</f>
        <v>47000</v>
      </c>
      <c r="R39" s="40">
        <f>152280/3</f>
        <v>50760</v>
      </c>
      <c r="S39" s="43">
        <f t="shared" si="5"/>
        <v>176.25</v>
      </c>
      <c r="T39" s="37">
        <v>21110</v>
      </c>
      <c r="U39" s="40">
        <f>T39*1.08</f>
        <v>22798.800000000003</v>
      </c>
      <c r="V39" s="40">
        <f>U39/288</f>
        <v>79.162500000000009</v>
      </c>
      <c r="W39" s="37">
        <v>21975</v>
      </c>
      <c r="X39" s="40">
        <f>W39*1.08</f>
        <v>23733</v>
      </c>
      <c r="Y39" s="44">
        <f>X39/288</f>
        <v>82.40625</v>
      </c>
      <c r="Z39" s="37">
        <v>16973</v>
      </c>
      <c r="AA39" s="40">
        <f>Z39*1.08</f>
        <v>18330.84</v>
      </c>
      <c r="AB39" s="40">
        <f>AA39/288</f>
        <v>63.64875</v>
      </c>
      <c r="AC39" s="37">
        <v>16273</v>
      </c>
      <c r="AD39" s="40">
        <f>AC39*1.08</f>
        <v>17574.84</v>
      </c>
      <c r="AE39" s="44">
        <f>AD39/288</f>
        <v>61.02375</v>
      </c>
      <c r="AF39" s="37">
        <v>15625</v>
      </c>
      <c r="AG39" s="40">
        <f>AF39*1.08</f>
        <v>16875</v>
      </c>
      <c r="AH39" s="44">
        <f>AG39/288</f>
        <v>58.59375</v>
      </c>
    </row>
    <row r="40" spans="2:34" ht="20" x14ac:dyDescent="0.25">
      <c r="B40" s="6" t="s">
        <v>6</v>
      </c>
      <c r="C40" s="12" t="s">
        <v>27</v>
      </c>
      <c r="D40" s="22" t="s">
        <v>3</v>
      </c>
      <c r="E40" s="37">
        <v>36200</v>
      </c>
      <c r="F40" s="38">
        <f>E40*1.08</f>
        <v>39096</v>
      </c>
      <c r="G40" s="39">
        <f>F40/288</f>
        <v>135.75</v>
      </c>
      <c r="H40" s="40">
        <f t="shared" si="3"/>
        <v>34000</v>
      </c>
      <c r="I40" s="40">
        <v>36720</v>
      </c>
      <c r="J40" s="39">
        <f t="shared" ref="J40:J60" si="6">I40/288</f>
        <v>127.5</v>
      </c>
      <c r="K40" s="38">
        <f>L40/1.08</f>
        <v>27375</v>
      </c>
      <c r="L40" s="40">
        <v>29565</v>
      </c>
      <c r="M40" s="41">
        <f t="shared" si="1"/>
        <v>102.65625</v>
      </c>
      <c r="N40" s="37">
        <f>O40/1.08</f>
        <v>38250</v>
      </c>
      <c r="O40" s="40">
        <v>41310</v>
      </c>
      <c r="P40" s="41">
        <f t="shared" ref="P40:P60" si="7">O40/288</f>
        <v>143.4375</v>
      </c>
      <c r="Q40" s="37">
        <f>R40/1.08</f>
        <v>32499.999999999996</v>
      </c>
      <c r="R40" s="40">
        <f>70200/2</f>
        <v>35100</v>
      </c>
      <c r="S40" s="43">
        <f t="shared" si="5"/>
        <v>121.875</v>
      </c>
      <c r="T40" s="37">
        <v>14839</v>
      </c>
      <c r="U40" s="40">
        <f>T40*1.08</f>
        <v>16026.12</v>
      </c>
      <c r="V40" s="40">
        <f>U40/288</f>
        <v>55.646250000000002</v>
      </c>
      <c r="W40" s="37">
        <v>16800</v>
      </c>
      <c r="X40" s="40">
        <f>W40*1.08</f>
        <v>18144</v>
      </c>
      <c r="Y40" s="44">
        <f>X40/288</f>
        <v>63</v>
      </c>
      <c r="Z40" s="37">
        <v>12245</v>
      </c>
      <c r="AA40" s="40">
        <f>Z40*1.08</f>
        <v>13224.6</v>
      </c>
      <c r="AB40" s="40">
        <f>AA40/288</f>
        <v>45.918750000000003</v>
      </c>
      <c r="AC40" s="37">
        <v>13188</v>
      </c>
      <c r="AD40" s="40">
        <f>AC40*1.08</f>
        <v>14243.04</v>
      </c>
      <c r="AE40" s="44">
        <f>AD40/288</f>
        <v>49.455000000000005</v>
      </c>
      <c r="AF40" s="37">
        <v>0</v>
      </c>
      <c r="AG40" s="40">
        <f>AF40*1.08</f>
        <v>0</v>
      </c>
      <c r="AH40" s="44">
        <f>AG40/288</f>
        <v>0</v>
      </c>
    </row>
    <row r="41" spans="2:34" ht="20" x14ac:dyDescent="0.25">
      <c r="B41" s="6" t="s">
        <v>6</v>
      </c>
      <c r="C41" s="12" t="s">
        <v>28</v>
      </c>
      <c r="D41" s="22" t="s">
        <v>3</v>
      </c>
      <c r="E41" s="37">
        <v>32045</v>
      </c>
      <c r="F41" s="38">
        <f>E41*1.08</f>
        <v>34608.600000000006</v>
      </c>
      <c r="G41" s="39">
        <f>F41/288</f>
        <v>120.16875000000002</v>
      </c>
      <c r="H41" s="40">
        <f t="shared" si="3"/>
        <v>30666.666666666664</v>
      </c>
      <c r="I41" s="40">
        <v>33120</v>
      </c>
      <c r="J41" s="39">
        <f t="shared" si="6"/>
        <v>115</v>
      </c>
      <c r="K41" s="38">
        <f>L41/1.08</f>
        <v>19181.481481481482</v>
      </c>
      <c r="L41" s="40">
        <v>20716</v>
      </c>
      <c r="M41" s="41">
        <f t="shared" si="1"/>
        <v>71.930555555555557</v>
      </c>
      <c r="N41" s="37">
        <f>O41/1.08</f>
        <v>28222.222222222219</v>
      </c>
      <c r="O41" s="40">
        <v>30480</v>
      </c>
      <c r="P41" s="41">
        <f t="shared" si="7"/>
        <v>105.83333333333333</v>
      </c>
      <c r="Q41" s="37">
        <f>R41/1.08</f>
        <v>29749.999999999996</v>
      </c>
      <c r="R41" s="40">
        <f>128520/4</f>
        <v>32130</v>
      </c>
      <c r="S41" s="43">
        <f t="shared" si="5"/>
        <v>111.5625</v>
      </c>
      <c r="T41" s="37">
        <v>13229</v>
      </c>
      <c r="U41" s="40">
        <f>T41*1.08</f>
        <v>14287.320000000002</v>
      </c>
      <c r="V41" s="40">
        <f>U41/288</f>
        <v>49.608750000000008</v>
      </c>
      <c r="W41" s="37">
        <v>14600</v>
      </c>
      <c r="X41" s="40">
        <f>W41*1.08</f>
        <v>15768.000000000002</v>
      </c>
      <c r="Y41" s="44">
        <f>X41/288</f>
        <v>54.750000000000007</v>
      </c>
      <c r="Z41" s="37">
        <v>11913</v>
      </c>
      <c r="AA41" s="40">
        <f>Z41*1.08</f>
        <v>12866.04</v>
      </c>
      <c r="AB41" s="40">
        <f>AA41/288</f>
        <v>44.673750000000005</v>
      </c>
      <c r="AC41" s="37">
        <v>10615</v>
      </c>
      <c r="AD41" s="40">
        <f>AC41*1.08</f>
        <v>11464.2</v>
      </c>
      <c r="AE41" s="44">
        <f>AD41/288</f>
        <v>39.806250000000006</v>
      </c>
      <c r="AF41" s="37">
        <v>10220</v>
      </c>
      <c r="AG41" s="40">
        <f>AF41*1.08</f>
        <v>11037.6</v>
      </c>
      <c r="AH41" s="44">
        <f>AG41/288</f>
        <v>38.325000000000003</v>
      </c>
    </row>
    <row r="42" spans="2:34" ht="20" x14ac:dyDescent="0.25">
      <c r="B42" s="7" t="s">
        <v>5</v>
      </c>
      <c r="C42" s="13" t="s">
        <v>29</v>
      </c>
      <c r="D42" s="21" t="s">
        <v>3</v>
      </c>
      <c r="E42" s="45">
        <v>11625</v>
      </c>
      <c r="F42" s="36">
        <f>E42*1.08</f>
        <v>12555</v>
      </c>
      <c r="G42" s="46">
        <f>F42/288</f>
        <v>43.59375</v>
      </c>
      <c r="H42" s="36">
        <f t="shared" si="3"/>
        <v>10166.666666666666</v>
      </c>
      <c r="I42" s="36">
        <v>10980</v>
      </c>
      <c r="J42" s="46">
        <f t="shared" si="6"/>
        <v>38.125</v>
      </c>
      <c r="K42" s="33">
        <f>L42/1.08</f>
        <v>6000</v>
      </c>
      <c r="L42" s="36">
        <v>6480</v>
      </c>
      <c r="M42" s="47">
        <f t="shared" si="1"/>
        <v>22.5</v>
      </c>
      <c r="N42" s="45">
        <f>O42/1.08</f>
        <v>14153.703703703703</v>
      </c>
      <c r="O42" s="36">
        <v>15286</v>
      </c>
      <c r="P42" s="47">
        <f t="shared" si="7"/>
        <v>53.076388888888886</v>
      </c>
      <c r="Q42" s="45">
        <f>R42/1.08</f>
        <v>12555.555555555555</v>
      </c>
      <c r="R42" s="36">
        <f>122040/9</f>
        <v>13560</v>
      </c>
      <c r="S42" s="48">
        <f t="shared" si="5"/>
        <v>47.083333333333336</v>
      </c>
      <c r="T42" s="45">
        <v>8955</v>
      </c>
      <c r="U42" s="36">
        <f>T42*1.08</f>
        <v>9671.4000000000015</v>
      </c>
      <c r="V42" s="36">
        <f>U42/288</f>
        <v>33.581250000000004</v>
      </c>
      <c r="W42" s="45">
        <v>9911</v>
      </c>
      <c r="X42" s="36">
        <f>W42*1.08</f>
        <v>10703.880000000001</v>
      </c>
      <c r="Y42" s="49">
        <f>X42/288</f>
        <v>37.166250000000005</v>
      </c>
      <c r="Z42" s="45">
        <v>7507</v>
      </c>
      <c r="AA42" s="36">
        <f>Z42*1.08</f>
        <v>8107.56</v>
      </c>
      <c r="AB42" s="36">
        <f>AA42/288</f>
        <v>28.151250000000001</v>
      </c>
      <c r="AC42" s="45">
        <v>6132</v>
      </c>
      <c r="AD42" s="36">
        <f>AC42*1.08</f>
        <v>6622.56</v>
      </c>
      <c r="AE42" s="49">
        <f>AD42/288</f>
        <v>22.995000000000001</v>
      </c>
      <c r="AF42" s="45">
        <v>6100</v>
      </c>
      <c r="AG42" s="36">
        <f>AF42*1.08</f>
        <v>6588</v>
      </c>
      <c r="AH42" s="49">
        <f>AG42/288</f>
        <v>22.875</v>
      </c>
    </row>
    <row r="43" spans="2:34" ht="20" x14ac:dyDescent="0.25">
      <c r="B43" s="7" t="s">
        <v>5</v>
      </c>
      <c r="C43" s="14" t="s">
        <v>46</v>
      </c>
      <c r="D43" s="21" t="s">
        <v>1</v>
      </c>
      <c r="E43" s="45">
        <v>13250</v>
      </c>
      <c r="F43" s="36">
        <f>E43*1.08</f>
        <v>14310.000000000002</v>
      </c>
      <c r="G43" s="46">
        <f>F43/288</f>
        <v>49.687500000000007</v>
      </c>
      <c r="H43" s="36">
        <f t="shared" si="3"/>
        <v>12000</v>
      </c>
      <c r="I43" s="36">
        <v>12960</v>
      </c>
      <c r="J43" s="46">
        <f t="shared" si="6"/>
        <v>45</v>
      </c>
      <c r="K43" s="33">
        <f>L43/1.08</f>
        <v>8099.9999999999991</v>
      </c>
      <c r="L43" s="36">
        <v>8748</v>
      </c>
      <c r="M43" s="47">
        <f t="shared" si="1"/>
        <v>30.375</v>
      </c>
      <c r="N43" s="45">
        <f>O43/1.08</f>
        <v>14749.999999999998</v>
      </c>
      <c r="O43" s="36">
        <v>15930</v>
      </c>
      <c r="P43" s="47">
        <f t="shared" si="7"/>
        <v>55.3125</v>
      </c>
      <c r="Q43" s="45">
        <f>R43/1.08</f>
        <v>12600</v>
      </c>
      <c r="R43" s="36">
        <f>68040/5</f>
        <v>13608</v>
      </c>
      <c r="S43" s="48">
        <f t="shared" si="5"/>
        <v>47.25</v>
      </c>
      <c r="T43" s="45">
        <v>10600</v>
      </c>
      <c r="U43" s="36">
        <f>T43*1.08</f>
        <v>11448</v>
      </c>
      <c r="V43" s="36">
        <f>U43/288</f>
        <v>39.75</v>
      </c>
      <c r="W43" s="45">
        <v>10957</v>
      </c>
      <c r="X43" s="36">
        <f>W43*1.08</f>
        <v>11833.560000000001</v>
      </c>
      <c r="Y43" s="49">
        <f>X43/288</f>
        <v>41.088750000000005</v>
      </c>
      <c r="Z43" s="45">
        <v>7238</v>
      </c>
      <c r="AA43" s="36">
        <f>Z43*1.08</f>
        <v>7817.0400000000009</v>
      </c>
      <c r="AB43" s="36">
        <f>AA43/288</f>
        <v>27.142500000000002</v>
      </c>
      <c r="AC43" s="45">
        <v>6563</v>
      </c>
      <c r="AD43" s="36">
        <f>AC43*1.08</f>
        <v>7088.0400000000009</v>
      </c>
      <c r="AE43" s="49">
        <f>AD43/288</f>
        <v>24.611250000000002</v>
      </c>
      <c r="AF43" s="45">
        <v>5650</v>
      </c>
      <c r="AG43" s="36">
        <f>AF43*1.08</f>
        <v>6102</v>
      </c>
      <c r="AH43" s="49">
        <f>AG43/288</f>
        <v>21.1875</v>
      </c>
    </row>
    <row r="44" spans="2:34" ht="20" x14ac:dyDescent="0.25">
      <c r="B44" s="7" t="s">
        <v>5</v>
      </c>
      <c r="C44" s="13" t="s">
        <v>30</v>
      </c>
      <c r="D44" s="21" t="s">
        <v>1</v>
      </c>
      <c r="E44" s="45">
        <v>34750</v>
      </c>
      <c r="F44" s="36">
        <f>E44*1.08</f>
        <v>37530</v>
      </c>
      <c r="G44" s="46">
        <f>F44/288</f>
        <v>130.3125</v>
      </c>
      <c r="H44" s="36">
        <f t="shared" si="3"/>
        <v>29666.666666666664</v>
      </c>
      <c r="I44" s="36">
        <v>32040</v>
      </c>
      <c r="J44" s="46">
        <f t="shared" si="6"/>
        <v>111.25</v>
      </c>
      <c r="K44" s="33">
        <f>L44/1.08</f>
        <v>26187.96296296296</v>
      </c>
      <c r="L44" s="36">
        <v>28283</v>
      </c>
      <c r="M44" s="47">
        <f t="shared" si="1"/>
        <v>98.204861111111114</v>
      </c>
      <c r="N44" s="45">
        <f>O44/1.08</f>
        <v>32722.222222222219</v>
      </c>
      <c r="O44" s="36">
        <v>35340</v>
      </c>
      <c r="P44" s="47">
        <f t="shared" si="7"/>
        <v>122.70833333333333</v>
      </c>
      <c r="Q44" s="45">
        <f>R44/1.08</f>
        <v>31199.999999999996</v>
      </c>
      <c r="R44" s="36">
        <f>336960/10</f>
        <v>33696</v>
      </c>
      <c r="S44" s="48">
        <f t="shared" si="5"/>
        <v>117</v>
      </c>
      <c r="T44" s="45">
        <v>24600</v>
      </c>
      <c r="U44" s="36">
        <f>T44*1.08</f>
        <v>26568</v>
      </c>
      <c r="V44" s="36">
        <f>U44/288</f>
        <v>92.25</v>
      </c>
      <c r="W44" s="45">
        <v>23845</v>
      </c>
      <c r="X44" s="36">
        <f>W44*1.08</f>
        <v>25752.600000000002</v>
      </c>
      <c r="Y44" s="49">
        <f>X44/288</f>
        <v>89.418750000000003</v>
      </c>
      <c r="Z44" s="45">
        <v>20583</v>
      </c>
      <c r="AA44" s="36">
        <f>Z44*1.08</f>
        <v>22229.640000000003</v>
      </c>
      <c r="AB44" s="36">
        <f>AA44/288</f>
        <v>77.186250000000015</v>
      </c>
      <c r="AC44" s="45">
        <v>15278</v>
      </c>
      <c r="AD44" s="36">
        <f>AC44*1.08</f>
        <v>16500.240000000002</v>
      </c>
      <c r="AE44" s="49">
        <f>AD44/288</f>
        <v>57.292500000000004</v>
      </c>
      <c r="AF44" s="45">
        <v>14136</v>
      </c>
      <c r="AG44" s="36">
        <f>AF44*1.08</f>
        <v>15266.880000000001</v>
      </c>
      <c r="AH44" s="49">
        <f>AG44/288</f>
        <v>53.010000000000005</v>
      </c>
    </row>
    <row r="45" spans="2:34" ht="20" x14ac:dyDescent="0.25">
      <c r="B45" s="7" t="s">
        <v>5</v>
      </c>
      <c r="C45" s="13" t="s">
        <v>31</v>
      </c>
      <c r="D45" s="21" t="s">
        <v>1</v>
      </c>
      <c r="E45" s="45">
        <v>22139</v>
      </c>
      <c r="F45" s="36">
        <f>E45*1.08</f>
        <v>23910.120000000003</v>
      </c>
      <c r="G45" s="46">
        <f>F45/288</f>
        <v>83.021250000000009</v>
      </c>
      <c r="H45" s="36">
        <f t="shared" si="3"/>
        <v>22182.407407407405</v>
      </c>
      <c r="I45" s="36">
        <v>23957</v>
      </c>
      <c r="J45" s="46">
        <f t="shared" si="6"/>
        <v>83.184027777777771</v>
      </c>
      <c r="K45" s="33">
        <f>L45/1.08</f>
        <v>23079.629629629628</v>
      </c>
      <c r="L45" s="36">
        <v>24926</v>
      </c>
      <c r="M45" s="47">
        <f t="shared" si="1"/>
        <v>86.548611111111114</v>
      </c>
      <c r="N45" s="45">
        <f>O45/1.08</f>
        <v>21548.148148148146</v>
      </c>
      <c r="O45" s="36">
        <v>23272</v>
      </c>
      <c r="P45" s="47">
        <f t="shared" si="7"/>
        <v>80.805555555555557</v>
      </c>
      <c r="Q45" s="45">
        <f>R45/1.08</f>
        <v>20823.529411764703</v>
      </c>
      <c r="R45" s="36">
        <f>382320/17</f>
        <v>22489.411764705881</v>
      </c>
      <c r="S45" s="48">
        <f t="shared" si="5"/>
        <v>78.088235294117638</v>
      </c>
      <c r="T45" s="45">
        <v>13700</v>
      </c>
      <c r="U45" s="36">
        <f>T45*1.08</f>
        <v>14796.000000000002</v>
      </c>
      <c r="V45" s="36">
        <f>U45/288</f>
        <v>51.375000000000007</v>
      </c>
      <c r="W45" s="45">
        <v>15114</v>
      </c>
      <c r="X45" s="36">
        <f>W45*1.08</f>
        <v>16323.12</v>
      </c>
      <c r="Y45" s="49">
        <f>X45/288</f>
        <v>56.677500000000002</v>
      </c>
      <c r="Z45" s="45">
        <v>10464</v>
      </c>
      <c r="AA45" s="36">
        <f>Z45*1.08</f>
        <v>11301.12</v>
      </c>
      <c r="AB45" s="36">
        <f>AA45/288</f>
        <v>39.24</v>
      </c>
      <c r="AC45" s="45">
        <v>11050</v>
      </c>
      <c r="AD45" s="36">
        <f>AC45*1.08</f>
        <v>11934</v>
      </c>
      <c r="AE45" s="49">
        <f>AD45/288</f>
        <v>41.4375</v>
      </c>
      <c r="AF45" s="45">
        <v>11941</v>
      </c>
      <c r="AG45" s="36">
        <f>AF45*1.08</f>
        <v>12896.28</v>
      </c>
      <c r="AH45" s="49">
        <f>AG45/288</f>
        <v>44.778750000000002</v>
      </c>
    </row>
    <row r="46" spans="2:34" ht="20" x14ac:dyDescent="0.25">
      <c r="B46" s="7" t="s">
        <v>5</v>
      </c>
      <c r="C46" s="15" t="s">
        <v>38</v>
      </c>
      <c r="D46" s="21" t="s">
        <v>3</v>
      </c>
      <c r="E46" s="45">
        <v>16250</v>
      </c>
      <c r="F46" s="36">
        <f>E46*1.08</f>
        <v>17550</v>
      </c>
      <c r="G46" s="46">
        <f>F46/288</f>
        <v>60.9375</v>
      </c>
      <c r="H46" s="36">
        <f t="shared" si="3"/>
        <v>18666.666666666664</v>
      </c>
      <c r="I46" s="36">
        <v>20160</v>
      </c>
      <c r="J46" s="46">
        <f t="shared" si="6"/>
        <v>70</v>
      </c>
      <c r="K46" s="33">
        <f>L46/1.08</f>
        <v>12818.518518518518</v>
      </c>
      <c r="L46" s="36">
        <v>13844</v>
      </c>
      <c r="M46" s="47">
        <f t="shared" si="1"/>
        <v>48.069444444444443</v>
      </c>
      <c r="N46" s="45">
        <f>O46/1.08</f>
        <v>14999.999999999998</v>
      </c>
      <c r="O46" s="36">
        <v>16200</v>
      </c>
      <c r="P46" s="47">
        <f t="shared" si="7"/>
        <v>56.25</v>
      </c>
      <c r="Q46" s="45">
        <f>R46/1.08</f>
        <v>18714.285714285714</v>
      </c>
      <c r="R46" s="36">
        <f>141480/7</f>
        <v>20211.428571428572</v>
      </c>
      <c r="S46" s="48">
        <f t="shared" si="5"/>
        <v>70.178571428571431</v>
      </c>
      <c r="T46" s="45">
        <v>10150</v>
      </c>
      <c r="U46" s="36">
        <f>T46*1.08</f>
        <v>10962</v>
      </c>
      <c r="V46" s="36">
        <f>U46/288</f>
        <v>38.0625</v>
      </c>
      <c r="W46" s="45">
        <v>12017</v>
      </c>
      <c r="X46" s="36">
        <f>W46*1.08</f>
        <v>12978.36</v>
      </c>
      <c r="Y46" s="49">
        <f>X46/288</f>
        <v>45.063749999999999</v>
      </c>
      <c r="Z46" s="45">
        <v>10875</v>
      </c>
      <c r="AA46" s="36">
        <f>Z46*1.08</f>
        <v>11745</v>
      </c>
      <c r="AB46" s="36">
        <f>AA46/288</f>
        <v>40.78125</v>
      </c>
      <c r="AC46" s="45">
        <v>7500</v>
      </c>
      <c r="AD46" s="36">
        <f>AC46*1.08</f>
        <v>8100.0000000000009</v>
      </c>
      <c r="AE46" s="49">
        <f>AD46/288</f>
        <v>28.125000000000004</v>
      </c>
      <c r="AF46" s="45">
        <v>11010</v>
      </c>
      <c r="AG46" s="36">
        <f>AF46*1.08</f>
        <v>11890.800000000001</v>
      </c>
      <c r="AH46" s="49">
        <f>AG46/288</f>
        <v>41.287500000000001</v>
      </c>
    </row>
    <row r="47" spans="2:34" ht="20" x14ac:dyDescent="0.25">
      <c r="B47" s="7" t="s">
        <v>5</v>
      </c>
      <c r="C47" s="13" t="s">
        <v>32</v>
      </c>
      <c r="D47" s="21" t="s">
        <v>3</v>
      </c>
      <c r="E47" s="45">
        <v>15167</v>
      </c>
      <c r="F47" s="36">
        <f>E47*1.08</f>
        <v>16380.36</v>
      </c>
      <c r="G47" s="46">
        <f>F47/288</f>
        <v>56.876249999999999</v>
      </c>
      <c r="H47" s="36">
        <f t="shared" si="3"/>
        <v>15099.999999999998</v>
      </c>
      <c r="I47" s="36">
        <v>16308</v>
      </c>
      <c r="J47" s="46">
        <f t="shared" si="6"/>
        <v>56.625</v>
      </c>
      <c r="K47" s="33">
        <f>L47/1.08</f>
        <v>12750</v>
      </c>
      <c r="L47" s="36">
        <v>13770</v>
      </c>
      <c r="M47" s="47">
        <f t="shared" si="1"/>
        <v>47.8125</v>
      </c>
      <c r="N47" s="45">
        <f>O47/1.08</f>
        <v>18000</v>
      </c>
      <c r="O47" s="36">
        <v>19440</v>
      </c>
      <c r="P47" s="47">
        <f t="shared" si="7"/>
        <v>67.5</v>
      </c>
      <c r="Q47" s="45">
        <f>R47/1.08</f>
        <v>17384.615384615387</v>
      </c>
      <c r="R47" s="36">
        <f>244080/13</f>
        <v>18775.384615384617</v>
      </c>
      <c r="S47" s="48">
        <f t="shared" si="5"/>
        <v>65.192307692307693</v>
      </c>
      <c r="T47" s="45">
        <v>12175</v>
      </c>
      <c r="U47" s="36">
        <f>T47*1.08</f>
        <v>13149</v>
      </c>
      <c r="V47" s="36">
        <f>U47/288</f>
        <v>45.65625</v>
      </c>
      <c r="W47" s="45">
        <v>12016</v>
      </c>
      <c r="X47" s="36">
        <f>W47*1.08</f>
        <v>12977.28</v>
      </c>
      <c r="Y47" s="49">
        <f>X47/288</f>
        <v>45.06</v>
      </c>
      <c r="Z47" s="45">
        <v>10875</v>
      </c>
      <c r="AA47" s="36">
        <f>Z47*1.08</f>
        <v>11745</v>
      </c>
      <c r="AB47" s="36">
        <f>AA47/288</f>
        <v>40.78125</v>
      </c>
      <c r="AC47" s="45">
        <v>7500</v>
      </c>
      <c r="AD47" s="36">
        <f>AC47*1.08</f>
        <v>8100.0000000000009</v>
      </c>
      <c r="AE47" s="49">
        <f>AD47/288</f>
        <v>28.125000000000004</v>
      </c>
      <c r="AF47" s="45">
        <v>11010</v>
      </c>
      <c r="AG47" s="36">
        <f>AF47*1.08</f>
        <v>11890.800000000001</v>
      </c>
      <c r="AH47" s="49">
        <f>AG47/288</f>
        <v>41.287500000000001</v>
      </c>
    </row>
    <row r="48" spans="2:34" ht="20" x14ac:dyDescent="0.25">
      <c r="B48" s="7" t="s">
        <v>5</v>
      </c>
      <c r="C48" s="13" t="s">
        <v>33</v>
      </c>
      <c r="D48" s="21" t="s">
        <v>3</v>
      </c>
      <c r="E48" s="45">
        <v>15550</v>
      </c>
      <c r="F48" s="36">
        <f>E48*1.08</f>
        <v>16794</v>
      </c>
      <c r="G48" s="46">
        <f>F48/288</f>
        <v>58.3125</v>
      </c>
      <c r="H48" s="36">
        <f t="shared" si="3"/>
        <v>15222.222222222221</v>
      </c>
      <c r="I48" s="36">
        <v>16440</v>
      </c>
      <c r="J48" s="46">
        <f t="shared" si="6"/>
        <v>57.083333333333336</v>
      </c>
      <c r="K48" s="33">
        <f>L48/1.08</f>
        <v>7549.9999999999991</v>
      </c>
      <c r="L48" s="36">
        <v>8154</v>
      </c>
      <c r="M48" s="47">
        <f t="shared" si="1"/>
        <v>28.3125</v>
      </c>
      <c r="N48" s="45">
        <f>O48/1.08</f>
        <v>16174.074074074073</v>
      </c>
      <c r="O48" s="36">
        <v>17468</v>
      </c>
      <c r="P48" s="47">
        <f t="shared" si="7"/>
        <v>60.652777777777779</v>
      </c>
      <c r="Q48" s="45">
        <f>R48/1.08</f>
        <v>15833.333333333332</v>
      </c>
      <c r="R48" s="36">
        <f>205200/12</f>
        <v>17100</v>
      </c>
      <c r="S48" s="48">
        <f t="shared" si="5"/>
        <v>59.375</v>
      </c>
      <c r="T48" s="45">
        <v>11653</v>
      </c>
      <c r="U48" s="36">
        <f>T48*1.08</f>
        <v>12585.240000000002</v>
      </c>
      <c r="V48" s="36">
        <f>U48/288</f>
        <v>43.698750000000004</v>
      </c>
      <c r="W48" s="45">
        <v>10655</v>
      </c>
      <c r="X48" s="36">
        <f>W48*1.08</f>
        <v>11507.400000000001</v>
      </c>
      <c r="Y48" s="49">
        <f>X48/288</f>
        <v>39.956250000000004</v>
      </c>
      <c r="Z48" s="45">
        <v>8790</v>
      </c>
      <c r="AA48" s="36">
        <f>Z48*1.08</f>
        <v>9493.2000000000007</v>
      </c>
      <c r="AB48" s="36">
        <f>AA48/288</f>
        <v>32.962500000000006</v>
      </c>
      <c r="AC48" s="45">
        <v>8181</v>
      </c>
      <c r="AD48" s="36">
        <f>AC48*1.08</f>
        <v>8835.4800000000014</v>
      </c>
      <c r="AE48" s="49">
        <f>AD48/288</f>
        <v>30.678750000000004</v>
      </c>
      <c r="AF48" s="45">
        <v>6546</v>
      </c>
      <c r="AG48" s="36">
        <f>AF48*1.08</f>
        <v>7069.68</v>
      </c>
      <c r="AH48" s="49">
        <f>AG48/288</f>
        <v>24.547499999999999</v>
      </c>
    </row>
    <row r="49" spans="2:34" ht="20" x14ac:dyDescent="0.25">
      <c r="B49" s="6" t="s">
        <v>6</v>
      </c>
      <c r="C49" s="12" t="s">
        <v>47</v>
      </c>
      <c r="D49" s="22" t="s">
        <v>3</v>
      </c>
      <c r="E49" s="37">
        <v>20500</v>
      </c>
      <c r="F49" s="38">
        <f>E49*1.08</f>
        <v>22140</v>
      </c>
      <c r="G49" s="39">
        <f>F49/288</f>
        <v>76.875</v>
      </c>
      <c r="H49" s="40">
        <f t="shared" si="3"/>
        <v>15999.999999999998</v>
      </c>
      <c r="I49" s="40">
        <v>17280</v>
      </c>
      <c r="J49" s="39">
        <f t="shared" si="6"/>
        <v>60</v>
      </c>
      <c r="K49" s="38">
        <f>L49/1.08</f>
        <v>16571.296296296296</v>
      </c>
      <c r="L49" s="40">
        <v>17897</v>
      </c>
      <c r="M49" s="41">
        <f t="shared" si="1"/>
        <v>62.142361111111114</v>
      </c>
      <c r="N49" s="37">
        <f>O49/1.08</f>
        <v>17100</v>
      </c>
      <c r="O49" s="40">
        <v>18468</v>
      </c>
      <c r="P49" s="41">
        <f t="shared" si="7"/>
        <v>64.125</v>
      </c>
      <c r="Q49" s="37">
        <f>R49/1.08</f>
        <v>17058.823529411766</v>
      </c>
      <c r="R49" s="40">
        <f>313200/17</f>
        <v>18423.529411764706</v>
      </c>
      <c r="S49" s="43">
        <f t="shared" si="5"/>
        <v>63.970588235294116</v>
      </c>
      <c r="T49" s="37">
        <v>9235</v>
      </c>
      <c r="U49" s="40">
        <f>T49*1.08</f>
        <v>9973.8000000000011</v>
      </c>
      <c r="V49" s="40">
        <f>U49/288</f>
        <v>34.631250000000001</v>
      </c>
      <c r="W49" s="37">
        <v>11457</v>
      </c>
      <c r="X49" s="40">
        <f>W49*1.08</f>
        <v>12373.560000000001</v>
      </c>
      <c r="Y49" s="44">
        <f>X49/288</f>
        <v>42.963750000000005</v>
      </c>
      <c r="Z49" s="37">
        <v>8173</v>
      </c>
      <c r="AA49" s="40">
        <f>Z49*1.08</f>
        <v>8826.84</v>
      </c>
      <c r="AB49" s="40">
        <f>AA49/288</f>
        <v>30.64875</v>
      </c>
      <c r="AC49" s="37">
        <v>6823</v>
      </c>
      <c r="AD49" s="40">
        <f>AC49*1.08</f>
        <v>7368.84</v>
      </c>
      <c r="AE49" s="44">
        <f>AD49/288</f>
        <v>25.58625</v>
      </c>
      <c r="AF49" s="37">
        <v>4550</v>
      </c>
      <c r="AG49" s="40">
        <f>AF49*1.08</f>
        <v>4914</v>
      </c>
      <c r="AH49" s="44">
        <f>AG49/288</f>
        <v>17.0625</v>
      </c>
    </row>
    <row r="50" spans="2:34" ht="20" x14ac:dyDescent="0.25">
      <c r="B50" s="6" t="s">
        <v>6</v>
      </c>
      <c r="C50" s="12" t="s">
        <v>48</v>
      </c>
      <c r="D50" s="22" t="s">
        <v>3</v>
      </c>
      <c r="E50" s="37">
        <v>51000</v>
      </c>
      <c r="F50" s="38">
        <f>E50*1.08</f>
        <v>55080</v>
      </c>
      <c r="G50" s="39">
        <f>F50/288</f>
        <v>191.25</v>
      </c>
      <c r="H50" s="40">
        <f t="shared" si="3"/>
        <v>63999.999999999993</v>
      </c>
      <c r="I50" s="40">
        <v>69120</v>
      </c>
      <c r="J50" s="39">
        <f t="shared" si="6"/>
        <v>240</v>
      </c>
      <c r="K50" s="38">
        <f>L50/1.08</f>
        <v>40000</v>
      </c>
      <c r="L50" s="40">
        <v>43200</v>
      </c>
      <c r="M50" s="41">
        <f t="shared" si="1"/>
        <v>150</v>
      </c>
      <c r="N50" s="37">
        <f>O50/1.08</f>
        <v>55000</v>
      </c>
      <c r="O50" s="40">
        <v>59400</v>
      </c>
      <c r="P50" s="41">
        <f t="shared" si="7"/>
        <v>206.25</v>
      </c>
      <c r="Q50" s="37">
        <f>R50/1.08</f>
        <v>50000</v>
      </c>
      <c r="R50" s="40">
        <v>54000</v>
      </c>
      <c r="S50" s="43">
        <f t="shared" si="5"/>
        <v>187.5</v>
      </c>
      <c r="T50" s="37">
        <v>23000</v>
      </c>
      <c r="U50" s="40">
        <f>T50*1.08</f>
        <v>24840</v>
      </c>
      <c r="V50" s="40">
        <f>U50/288</f>
        <v>86.25</v>
      </c>
      <c r="W50" s="37">
        <v>24000</v>
      </c>
      <c r="X50" s="40">
        <f>W50*1.08</f>
        <v>25920</v>
      </c>
      <c r="Y50" s="44">
        <f>X50/288</f>
        <v>90</v>
      </c>
      <c r="Z50" s="37">
        <v>22000</v>
      </c>
      <c r="AA50" s="40">
        <f>Z50*1.08</f>
        <v>23760</v>
      </c>
      <c r="AB50" s="40">
        <f>AA50/288</f>
        <v>82.5</v>
      </c>
      <c r="AC50" s="37">
        <v>19000</v>
      </c>
      <c r="AD50" s="40">
        <f>AC50*1.08</f>
        <v>20520</v>
      </c>
      <c r="AE50" s="44">
        <f>AD50/288</f>
        <v>71.25</v>
      </c>
      <c r="AF50" s="37">
        <v>0</v>
      </c>
      <c r="AG50" s="40">
        <f>AF50*1.08</f>
        <v>0</v>
      </c>
      <c r="AH50" s="44">
        <f>AG50/288</f>
        <v>0</v>
      </c>
    </row>
    <row r="51" spans="2:34" ht="20" x14ac:dyDescent="0.25">
      <c r="B51" s="6" t="s">
        <v>6</v>
      </c>
      <c r="C51" s="12" t="s">
        <v>49</v>
      </c>
      <c r="D51" s="22" t="s">
        <v>3</v>
      </c>
      <c r="E51" s="37">
        <v>22955</v>
      </c>
      <c r="F51" s="38">
        <f>E51*1.08</f>
        <v>24791.4</v>
      </c>
      <c r="G51" s="39">
        <f>F51/288</f>
        <v>86.081250000000011</v>
      </c>
      <c r="H51" s="40">
        <f t="shared" si="3"/>
        <v>20857.407407407405</v>
      </c>
      <c r="I51" s="40">
        <v>22526</v>
      </c>
      <c r="J51" s="39">
        <f t="shared" si="6"/>
        <v>78.215277777777771</v>
      </c>
      <c r="K51" s="38">
        <f>L51/1.08</f>
        <v>15733.333333333332</v>
      </c>
      <c r="L51" s="40">
        <v>16992</v>
      </c>
      <c r="M51" s="41">
        <f t="shared" si="1"/>
        <v>59</v>
      </c>
      <c r="N51" s="37">
        <f>O51/1.08</f>
        <v>20363.888888888887</v>
      </c>
      <c r="O51" s="40">
        <v>21993</v>
      </c>
      <c r="P51" s="41">
        <f t="shared" si="7"/>
        <v>76.364583333333329</v>
      </c>
      <c r="Q51" s="37">
        <f>R51/1.08</f>
        <v>17000</v>
      </c>
      <c r="R51" s="40">
        <f>(28620+8100)/2</f>
        <v>18360</v>
      </c>
      <c r="S51" s="43">
        <f t="shared" si="5"/>
        <v>63.75</v>
      </c>
      <c r="T51" s="37">
        <v>9877</v>
      </c>
      <c r="U51" s="40">
        <f>T51*1.08</f>
        <v>10667.16</v>
      </c>
      <c r="V51" s="40">
        <f>U51/288</f>
        <v>37.03875</v>
      </c>
      <c r="W51" s="37">
        <v>10433</v>
      </c>
      <c r="X51" s="40">
        <f>W51*1.08</f>
        <v>11267.640000000001</v>
      </c>
      <c r="Y51" s="44">
        <f>X51/288</f>
        <v>39.123750000000001</v>
      </c>
      <c r="Z51" s="37">
        <v>8450</v>
      </c>
      <c r="AA51" s="40">
        <f>Z51*1.08</f>
        <v>9126</v>
      </c>
      <c r="AB51" s="40">
        <f>AA51/288</f>
        <v>31.6875</v>
      </c>
      <c r="AC51" s="37">
        <v>6258</v>
      </c>
      <c r="AD51" s="40">
        <f>AC51*1.08</f>
        <v>6758.64</v>
      </c>
      <c r="AE51" s="44">
        <f>AD51/288</f>
        <v>23.467500000000001</v>
      </c>
      <c r="AF51" s="37">
        <v>4850</v>
      </c>
      <c r="AG51" s="40">
        <f>AF51*1.08</f>
        <v>5238</v>
      </c>
      <c r="AH51" s="44">
        <f>AG51/288</f>
        <v>18.1875</v>
      </c>
    </row>
    <row r="52" spans="2:34" ht="20" x14ac:dyDescent="0.25">
      <c r="B52" s="7" t="s">
        <v>5</v>
      </c>
      <c r="C52" s="13" t="s">
        <v>50</v>
      </c>
      <c r="D52" s="21" t="s">
        <v>1</v>
      </c>
      <c r="E52" s="45">
        <v>13219</v>
      </c>
      <c r="F52" s="36">
        <f>E52*1.08</f>
        <v>14276.52</v>
      </c>
      <c r="G52" s="46">
        <f>F52/288</f>
        <v>49.571249999999999</v>
      </c>
      <c r="H52" s="36">
        <f t="shared" si="3"/>
        <v>11900</v>
      </c>
      <c r="I52" s="36">
        <v>12852</v>
      </c>
      <c r="J52" s="46">
        <f t="shared" si="6"/>
        <v>44.625</v>
      </c>
      <c r="K52" s="33">
        <f>L52/1.08</f>
        <v>6717.5925925925922</v>
      </c>
      <c r="L52" s="36">
        <v>7255</v>
      </c>
      <c r="M52" s="47">
        <f t="shared" si="1"/>
        <v>25.190972222222221</v>
      </c>
      <c r="N52" s="45">
        <f>O52/1.08</f>
        <v>15374.999999999998</v>
      </c>
      <c r="O52" s="36">
        <v>16605</v>
      </c>
      <c r="P52" s="47">
        <f t="shared" si="7"/>
        <v>57.65625</v>
      </c>
      <c r="Q52" s="45">
        <f>R52/1.08</f>
        <v>15076.923076923076</v>
      </c>
      <c r="R52" s="36">
        <f>211680/13</f>
        <v>16283.076923076924</v>
      </c>
      <c r="S52" s="48">
        <f t="shared" si="5"/>
        <v>56.53846153846154</v>
      </c>
      <c r="T52" s="45">
        <v>9532</v>
      </c>
      <c r="U52" s="36">
        <f>T52*1.08</f>
        <v>10294.560000000001</v>
      </c>
      <c r="V52" s="36">
        <f>U52/288</f>
        <v>35.745000000000005</v>
      </c>
      <c r="W52" s="45">
        <v>9056</v>
      </c>
      <c r="X52" s="36">
        <f>W52*1.08</f>
        <v>9780.4800000000014</v>
      </c>
      <c r="Y52" s="49">
        <f>X52/288</f>
        <v>33.960000000000008</v>
      </c>
      <c r="Z52" s="45">
        <v>7916</v>
      </c>
      <c r="AA52" s="36">
        <f>Z52*1.08</f>
        <v>8549.2800000000007</v>
      </c>
      <c r="AB52" s="36">
        <f>AA52/288</f>
        <v>29.685000000000002</v>
      </c>
      <c r="AC52" s="45">
        <v>7065</v>
      </c>
      <c r="AD52" s="36">
        <f>AC52*1.08</f>
        <v>7630.2000000000007</v>
      </c>
      <c r="AE52" s="49">
        <f>AD52/288</f>
        <v>26.493750000000002</v>
      </c>
      <c r="AF52" s="45">
        <v>5883</v>
      </c>
      <c r="AG52" s="36">
        <f>AF52*1.08</f>
        <v>6353.64</v>
      </c>
      <c r="AH52" s="49">
        <f>AG52/288</f>
        <v>22.061250000000001</v>
      </c>
    </row>
    <row r="53" spans="2:34" ht="20" x14ac:dyDescent="0.25">
      <c r="B53" s="7" t="s">
        <v>5</v>
      </c>
      <c r="C53" s="13" t="s">
        <v>51</v>
      </c>
      <c r="D53" s="21" t="s">
        <v>1</v>
      </c>
      <c r="E53" s="45">
        <v>13031</v>
      </c>
      <c r="F53" s="36">
        <f>E53*1.08</f>
        <v>14073.480000000001</v>
      </c>
      <c r="G53" s="46">
        <f>F53/288</f>
        <v>48.866250000000008</v>
      </c>
      <c r="H53" s="36">
        <f t="shared" si="3"/>
        <v>13400</v>
      </c>
      <c r="I53" s="36">
        <v>14472</v>
      </c>
      <c r="J53" s="46">
        <f t="shared" si="6"/>
        <v>50.25</v>
      </c>
      <c r="K53" s="33">
        <f>L53/1.08</f>
        <v>13261.111111111109</v>
      </c>
      <c r="L53" s="36">
        <v>14322</v>
      </c>
      <c r="M53" s="47">
        <f t="shared" si="1"/>
        <v>49.729166666666664</v>
      </c>
      <c r="N53" s="45">
        <f>O53/1.08</f>
        <v>15384.259259259259</v>
      </c>
      <c r="O53" s="36">
        <v>16615</v>
      </c>
      <c r="P53" s="47">
        <f t="shared" si="7"/>
        <v>57.690972222222221</v>
      </c>
      <c r="Q53" s="45">
        <f>R53/1.08</f>
        <v>16700</v>
      </c>
      <c r="R53" s="36">
        <f>180360/10</f>
        <v>18036</v>
      </c>
      <c r="S53" s="48">
        <f t="shared" si="5"/>
        <v>62.625</v>
      </c>
      <c r="T53" s="45">
        <v>10823</v>
      </c>
      <c r="U53" s="36">
        <f>T53*1.08</f>
        <v>11688.84</v>
      </c>
      <c r="V53" s="36">
        <f>U53/288</f>
        <v>40.58625</v>
      </c>
      <c r="W53" s="45">
        <v>11182</v>
      </c>
      <c r="X53" s="36">
        <f>W53*1.08</f>
        <v>12076.560000000001</v>
      </c>
      <c r="Y53" s="49">
        <f>X53/288</f>
        <v>41.932500000000005</v>
      </c>
      <c r="Z53" s="45">
        <v>9064</v>
      </c>
      <c r="AA53" s="36">
        <f>Z53*1.08</f>
        <v>9789.1200000000008</v>
      </c>
      <c r="AB53" s="36">
        <f>AA53/288</f>
        <v>33.99</v>
      </c>
      <c r="AC53" s="45">
        <v>6930</v>
      </c>
      <c r="AD53" s="36">
        <f>AC53*1.08</f>
        <v>7484.4000000000005</v>
      </c>
      <c r="AE53" s="49">
        <f>AD53/288</f>
        <v>25.987500000000001</v>
      </c>
      <c r="AF53" s="45">
        <v>0</v>
      </c>
      <c r="AG53" s="36">
        <f>AF53*1.08</f>
        <v>0</v>
      </c>
      <c r="AH53" s="49">
        <f>AG53/288</f>
        <v>0</v>
      </c>
    </row>
    <row r="54" spans="2:34" ht="20" x14ac:dyDescent="0.25">
      <c r="B54" s="7" t="s">
        <v>5</v>
      </c>
      <c r="C54" s="13" t="s">
        <v>52</v>
      </c>
      <c r="D54" s="21" t="s">
        <v>1</v>
      </c>
      <c r="E54" s="45">
        <v>13400</v>
      </c>
      <c r="F54" s="36">
        <f>E54*1.08</f>
        <v>14472.000000000002</v>
      </c>
      <c r="G54" s="46">
        <f>F54/288</f>
        <v>50.250000000000007</v>
      </c>
      <c r="H54" s="36">
        <f t="shared" si="3"/>
        <v>13713.888888888889</v>
      </c>
      <c r="I54" s="36">
        <v>14811</v>
      </c>
      <c r="J54" s="46">
        <f t="shared" si="6"/>
        <v>51.427083333333336</v>
      </c>
      <c r="K54" s="33">
        <f>L54/1.08</f>
        <v>7896.2962962962956</v>
      </c>
      <c r="L54" s="36">
        <v>8528</v>
      </c>
      <c r="M54" s="47">
        <f t="shared" si="1"/>
        <v>29.611111111111111</v>
      </c>
      <c r="N54" s="45">
        <f>O54/1.08</f>
        <v>15120.370370370369</v>
      </c>
      <c r="O54" s="36">
        <v>16330</v>
      </c>
      <c r="P54" s="47">
        <f t="shared" si="7"/>
        <v>56.701388888888886</v>
      </c>
      <c r="Q54" s="45">
        <f>R54/1.08</f>
        <v>14499.999999999998</v>
      </c>
      <c r="R54" s="36">
        <f>156600/10</f>
        <v>15660</v>
      </c>
      <c r="S54" s="48">
        <f t="shared" si="5"/>
        <v>54.375</v>
      </c>
      <c r="T54" s="45">
        <v>9345</v>
      </c>
      <c r="U54" s="36">
        <f>T54*1.08</f>
        <v>10092.6</v>
      </c>
      <c r="V54" s="36">
        <f>U54/288</f>
        <v>35.043750000000003</v>
      </c>
      <c r="W54" s="45">
        <v>9294</v>
      </c>
      <c r="X54" s="36">
        <f>W54*1.08</f>
        <v>10037.52</v>
      </c>
      <c r="Y54" s="49">
        <f>X54/288</f>
        <v>34.852499999999999</v>
      </c>
      <c r="Z54" s="45">
        <v>7045</v>
      </c>
      <c r="AA54" s="36">
        <f>Z54*1.08</f>
        <v>7608.6</v>
      </c>
      <c r="AB54" s="36">
        <f>AA54/288</f>
        <v>26.418750000000003</v>
      </c>
      <c r="AC54" s="45">
        <v>6470</v>
      </c>
      <c r="AD54" s="36">
        <f>AC54*1.08</f>
        <v>6987.6</v>
      </c>
      <c r="AE54" s="49">
        <f>AD54/288</f>
        <v>24.262500000000003</v>
      </c>
      <c r="AF54" s="45">
        <v>5358</v>
      </c>
      <c r="AG54" s="36">
        <f>AF54*1.08</f>
        <v>5786.64</v>
      </c>
      <c r="AH54" s="49">
        <f>AG54/288</f>
        <v>20.092500000000001</v>
      </c>
    </row>
    <row r="55" spans="2:34" ht="20" x14ac:dyDescent="0.25">
      <c r="B55" s="7" t="s">
        <v>5</v>
      </c>
      <c r="C55" s="13" t="s">
        <v>34</v>
      </c>
      <c r="D55" s="21" t="s">
        <v>1</v>
      </c>
      <c r="E55" s="45">
        <v>23833</v>
      </c>
      <c r="F55" s="36">
        <f>E55*1.08</f>
        <v>25739.640000000003</v>
      </c>
      <c r="G55" s="46">
        <f>F55/288</f>
        <v>89.373750000000015</v>
      </c>
      <c r="H55" s="36">
        <f t="shared" si="3"/>
        <v>19750</v>
      </c>
      <c r="I55" s="36">
        <v>21330</v>
      </c>
      <c r="J55" s="46">
        <f t="shared" si="6"/>
        <v>74.0625</v>
      </c>
      <c r="K55" s="33">
        <f>L55/1.08</f>
        <v>19158.333333333332</v>
      </c>
      <c r="L55" s="36">
        <v>20691</v>
      </c>
      <c r="M55" s="47">
        <f t="shared" si="1"/>
        <v>71.84375</v>
      </c>
      <c r="N55" s="45">
        <f>O55/1.08</f>
        <v>22435.185185185182</v>
      </c>
      <c r="O55" s="36">
        <v>24230</v>
      </c>
      <c r="P55" s="47">
        <f t="shared" si="7"/>
        <v>84.131944444444443</v>
      </c>
      <c r="Q55" s="45">
        <f>R55/1.08</f>
        <v>29999.999999999996</v>
      </c>
      <c r="R55" s="36">
        <f>226800/7</f>
        <v>32400</v>
      </c>
      <c r="S55" s="48">
        <f t="shared" si="5"/>
        <v>112.5</v>
      </c>
      <c r="T55" s="45">
        <v>15093</v>
      </c>
      <c r="U55" s="36">
        <f>T55*1.08</f>
        <v>16300.44</v>
      </c>
      <c r="V55" s="36">
        <f>U55/288</f>
        <v>56.598750000000003</v>
      </c>
      <c r="W55" s="45">
        <v>16163.999999999998</v>
      </c>
      <c r="X55" s="36">
        <f>W55*1.08</f>
        <v>17457.12</v>
      </c>
      <c r="Y55" s="49">
        <f>X55/288</f>
        <v>60.614999999999995</v>
      </c>
      <c r="Z55" s="45">
        <v>13084</v>
      </c>
      <c r="AA55" s="36">
        <f>Z55*1.08</f>
        <v>14130.720000000001</v>
      </c>
      <c r="AB55" s="36">
        <f>AA55/288</f>
        <v>49.065000000000005</v>
      </c>
      <c r="AC55" s="45">
        <v>13563</v>
      </c>
      <c r="AD55" s="36">
        <f>AC55*1.08</f>
        <v>14648.04</v>
      </c>
      <c r="AE55" s="49">
        <f>AD55/288</f>
        <v>50.861250000000005</v>
      </c>
      <c r="AF55" s="45">
        <v>9855</v>
      </c>
      <c r="AG55" s="36">
        <f>AF55*1.08</f>
        <v>10643.400000000001</v>
      </c>
      <c r="AH55" s="49">
        <f>AG55/288</f>
        <v>36.956250000000004</v>
      </c>
    </row>
    <row r="56" spans="2:34" ht="20" x14ac:dyDescent="0.25">
      <c r="B56" s="7" t="s">
        <v>5</v>
      </c>
      <c r="C56" s="13" t="s">
        <v>35</v>
      </c>
      <c r="D56" s="21" t="s">
        <v>1</v>
      </c>
      <c r="E56" s="45">
        <v>22048</v>
      </c>
      <c r="F56" s="36">
        <f>E56*1.08</f>
        <v>23811.84</v>
      </c>
      <c r="G56" s="46">
        <f>F56/288</f>
        <v>82.68</v>
      </c>
      <c r="H56" s="36">
        <f t="shared" si="3"/>
        <v>20166.666666666664</v>
      </c>
      <c r="I56" s="36">
        <v>21780</v>
      </c>
      <c r="J56" s="46">
        <f t="shared" si="6"/>
        <v>75.625</v>
      </c>
      <c r="K56" s="33">
        <f>L56/1.08</f>
        <v>24388.888888888887</v>
      </c>
      <c r="L56" s="36">
        <v>26340</v>
      </c>
      <c r="M56" s="47">
        <f t="shared" si="1"/>
        <v>91.458333333333329</v>
      </c>
      <c r="N56" s="45">
        <f>O56/1.08</f>
        <v>23333.333333333332</v>
      </c>
      <c r="O56" s="36">
        <v>25200</v>
      </c>
      <c r="P56" s="47">
        <f t="shared" si="7"/>
        <v>87.5</v>
      </c>
      <c r="Q56" s="45">
        <f>R56/1.08</f>
        <v>27777.777777777777</v>
      </c>
      <c r="R56" s="36">
        <f>270000/9</f>
        <v>30000</v>
      </c>
      <c r="S56" s="48">
        <f t="shared" si="5"/>
        <v>104.16666666666667</v>
      </c>
      <c r="T56" s="45">
        <v>21555</v>
      </c>
      <c r="U56" s="36">
        <f>T56*1.08</f>
        <v>23279.4</v>
      </c>
      <c r="V56" s="36">
        <f>U56/288</f>
        <v>80.831250000000011</v>
      </c>
      <c r="W56" s="45">
        <v>20357</v>
      </c>
      <c r="X56" s="36">
        <f>W56*1.08</f>
        <v>21985.56</v>
      </c>
      <c r="Y56" s="49">
        <f>X56/288</f>
        <v>76.338750000000005</v>
      </c>
      <c r="Z56" s="45">
        <v>17396</v>
      </c>
      <c r="AA56" s="36">
        <f>Z56*1.08</f>
        <v>18787.68</v>
      </c>
      <c r="AB56" s="36">
        <f>AA56/288</f>
        <v>65.234999999999999</v>
      </c>
      <c r="AC56" s="45">
        <v>15021</v>
      </c>
      <c r="AD56" s="36">
        <f>AC56*1.08</f>
        <v>16222.68</v>
      </c>
      <c r="AE56" s="49">
        <f>AD56/288</f>
        <v>56.328749999999999</v>
      </c>
      <c r="AF56" s="45">
        <v>16249</v>
      </c>
      <c r="AG56" s="36">
        <f>AF56*1.08</f>
        <v>17548.920000000002</v>
      </c>
      <c r="AH56" s="49">
        <f>AG56/288</f>
        <v>60.933750000000003</v>
      </c>
    </row>
    <row r="57" spans="2:34" ht="20" x14ac:dyDescent="0.25">
      <c r="B57" s="7" t="s">
        <v>5</v>
      </c>
      <c r="C57" s="13" t="s">
        <v>36</v>
      </c>
      <c r="D57" s="21" t="s">
        <v>1</v>
      </c>
      <c r="E57" s="45">
        <v>17154</v>
      </c>
      <c r="F57" s="36">
        <f>E57*1.08</f>
        <v>18526.32</v>
      </c>
      <c r="G57" s="46">
        <f>F57/288</f>
        <v>64.327500000000001</v>
      </c>
      <c r="H57" s="36">
        <f t="shared" si="3"/>
        <v>20937.96296296296</v>
      </c>
      <c r="I57" s="36">
        <v>22613</v>
      </c>
      <c r="J57" s="46">
        <f t="shared" si="6"/>
        <v>78.517361111111114</v>
      </c>
      <c r="K57" s="33">
        <f>L57/1.08</f>
        <v>17550</v>
      </c>
      <c r="L57" s="36">
        <v>18954</v>
      </c>
      <c r="M57" s="47">
        <f t="shared" si="1"/>
        <v>65.8125</v>
      </c>
      <c r="N57" s="45">
        <f>O57/1.08</f>
        <v>22230.555555555555</v>
      </c>
      <c r="O57" s="36">
        <v>24009</v>
      </c>
      <c r="P57" s="47">
        <f t="shared" si="7"/>
        <v>83.364583333333329</v>
      </c>
      <c r="Q57" s="45">
        <f>R57/1.08</f>
        <v>22444.444444444442</v>
      </c>
      <c r="R57" s="36">
        <f>218160/9</f>
        <v>24240</v>
      </c>
      <c r="S57" s="48">
        <f t="shared" si="5"/>
        <v>84.166666666666671</v>
      </c>
      <c r="T57" s="45">
        <v>12027</v>
      </c>
      <c r="U57" s="36">
        <f>T57*1.08</f>
        <v>12989.160000000002</v>
      </c>
      <c r="V57" s="36">
        <f>U57/288</f>
        <v>45.101250000000007</v>
      </c>
      <c r="W57" s="45">
        <v>14181</v>
      </c>
      <c r="X57" s="36">
        <f>W57*1.08</f>
        <v>15315.480000000001</v>
      </c>
      <c r="Y57" s="49">
        <f>X57/288</f>
        <v>53.178750000000008</v>
      </c>
      <c r="Z57" s="45">
        <v>11885</v>
      </c>
      <c r="AA57" s="36">
        <f>Z57*1.08</f>
        <v>12835.800000000001</v>
      </c>
      <c r="AB57" s="36">
        <f>AA57/288</f>
        <v>44.568750000000001</v>
      </c>
      <c r="AC57" s="45">
        <v>9881</v>
      </c>
      <c r="AD57" s="36">
        <f>AC57*1.08</f>
        <v>10671.480000000001</v>
      </c>
      <c r="AE57" s="49">
        <f>AD57/288</f>
        <v>37.053750000000008</v>
      </c>
      <c r="AF57" s="45">
        <v>10087</v>
      </c>
      <c r="AG57" s="36">
        <f>AF57*1.08</f>
        <v>10893.960000000001</v>
      </c>
      <c r="AH57" s="49">
        <f>AG57/288</f>
        <v>37.826250000000002</v>
      </c>
    </row>
    <row r="58" spans="2:34" ht="20" x14ac:dyDescent="0.25">
      <c r="B58" s="7" t="s">
        <v>5</v>
      </c>
      <c r="C58" s="13" t="s">
        <v>37</v>
      </c>
      <c r="D58" s="21" t="s">
        <v>1</v>
      </c>
      <c r="E58" s="45">
        <v>18929</v>
      </c>
      <c r="F58" s="36">
        <f>E58*1.08</f>
        <v>20443.32</v>
      </c>
      <c r="G58" s="46">
        <f>F58/288</f>
        <v>70.983750000000001</v>
      </c>
      <c r="H58" s="36">
        <f t="shared" si="3"/>
        <v>19133.333333333332</v>
      </c>
      <c r="I58" s="36">
        <v>20664</v>
      </c>
      <c r="J58" s="46">
        <f t="shared" si="6"/>
        <v>71.75</v>
      </c>
      <c r="K58" s="33">
        <f>L58/1.08</f>
        <v>21095.370370370369</v>
      </c>
      <c r="L58" s="36">
        <v>22783</v>
      </c>
      <c r="M58" s="47">
        <f t="shared" si="1"/>
        <v>79.107638888888886</v>
      </c>
      <c r="N58" s="45">
        <f>O58/1.08</f>
        <v>20571.296296296296</v>
      </c>
      <c r="O58" s="36">
        <v>22217</v>
      </c>
      <c r="P58" s="47">
        <f t="shared" si="7"/>
        <v>77.142361111111114</v>
      </c>
      <c r="Q58" s="45">
        <f>R58/1.08</f>
        <v>22454.545454545452</v>
      </c>
      <c r="R58" s="36">
        <f>266760/11</f>
        <v>24250.909090909092</v>
      </c>
      <c r="S58" s="48">
        <f t="shared" si="5"/>
        <v>84.204545454545453</v>
      </c>
      <c r="T58" s="45">
        <v>13194</v>
      </c>
      <c r="U58" s="36">
        <f>T58*1.08</f>
        <v>14249.52</v>
      </c>
      <c r="V58" s="36">
        <f>U58/288</f>
        <v>49.477499999999999</v>
      </c>
      <c r="W58" s="45">
        <v>14423</v>
      </c>
      <c r="X58" s="36">
        <f>W58*1.08</f>
        <v>15576.84</v>
      </c>
      <c r="Y58" s="49">
        <f>X58/288</f>
        <v>54.08625</v>
      </c>
      <c r="Z58" s="45">
        <v>11386</v>
      </c>
      <c r="AA58" s="36">
        <f>Z58*1.08</f>
        <v>12296.880000000001</v>
      </c>
      <c r="AB58" s="36">
        <f>AA58/288</f>
        <v>42.697500000000005</v>
      </c>
      <c r="AC58" s="45">
        <v>10043</v>
      </c>
      <c r="AD58" s="36">
        <f>AC58*1.08</f>
        <v>10846.44</v>
      </c>
      <c r="AE58" s="49">
        <f>AD58/288</f>
        <v>37.661250000000003</v>
      </c>
      <c r="AF58" s="45">
        <v>9330</v>
      </c>
      <c r="AG58" s="36">
        <f>AF58*1.08</f>
        <v>10076.400000000001</v>
      </c>
      <c r="AH58" s="49">
        <f>AG58/288</f>
        <v>34.987500000000004</v>
      </c>
    </row>
    <row r="59" spans="2:34" ht="20" x14ac:dyDescent="0.25">
      <c r="B59" s="16" t="s">
        <v>53</v>
      </c>
      <c r="C59" s="17" t="s">
        <v>55</v>
      </c>
      <c r="D59" s="23" t="s">
        <v>56</v>
      </c>
      <c r="E59" s="50">
        <v>4660</v>
      </c>
      <c r="F59" s="51">
        <f>E59*1.08</f>
        <v>5032.8</v>
      </c>
      <c r="G59" s="52">
        <f>F59/288</f>
        <v>17.475000000000001</v>
      </c>
      <c r="H59" s="51">
        <f>I59/1.08</f>
        <v>4200</v>
      </c>
      <c r="I59" s="51">
        <v>4536</v>
      </c>
      <c r="J59" s="52">
        <f t="shared" si="6"/>
        <v>15.75</v>
      </c>
      <c r="K59" s="51">
        <f>L59/1.08</f>
        <v>2275</v>
      </c>
      <c r="L59" s="51">
        <v>2457</v>
      </c>
      <c r="M59" s="53">
        <f t="shared" si="1"/>
        <v>8.53125</v>
      </c>
      <c r="N59" s="51">
        <f>O59/1.08</f>
        <v>5791.6666666666661</v>
      </c>
      <c r="O59" s="51">
        <v>6255</v>
      </c>
      <c r="P59" s="53">
        <f t="shared" si="7"/>
        <v>21.71875</v>
      </c>
      <c r="Q59" s="51">
        <f>R59/1.08</f>
        <v>4400</v>
      </c>
      <c r="R59" s="51">
        <f>28512/6</f>
        <v>4752</v>
      </c>
      <c r="S59" s="54">
        <f t="shared" si="5"/>
        <v>16.5</v>
      </c>
      <c r="T59" s="50">
        <v>1500</v>
      </c>
      <c r="U59" s="51">
        <f>T59*1.08</f>
        <v>1620</v>
      </c>
      <c r="V59" s="55">
        <f>U59/288</f>
        <v>5.625</v>
      </c>
      <c r="W59" s="50">
        <v>1025</v>
      </c>
      <c r="X59" s="51">
        <f>W59*1.08</f>
        <v>1107</v>
      </c>
      <c r="Y59" s="54">
        <f>X59/288</f>
        <v>3.84375</v>
      </c>
      <c r="Z59" s="50">
        <v>675</v>
      </c>
      <c r="AA59" s="51">
        <f>Z59*1.08</f>
        <v>729</v>
      </c>
      <c r="AB59" s="55">
        <f>AA59/288</f>
        <v>2.53125</v>
      </c>
      <c r="AC59" s="50">
        <v>390</v>
      </c>
      <c r="AD59" s="51">
        <f>AC59*1.08</f>
        <v>421.20000000000005</v>
      </c>
      <c r="AE59" s="54">
        <f>AD59/288</f>
        <v>1.4625000000000001</v>
      </c>
      <c r="AF59" s="50">
        <v>417</v>
      </c>
      <c r="AG59" s="51">
        <f>AF59*1.08</f>
        <v>450.36</v>
      </c>
      <c r="AH59" s="54">
        <f t="shared" ref="AH59:AH60" si="8">AG59/288</f>
        <v>1.56375</v>
      </c>
    </row>
    <row r="60" spans="2:34" ht="21" thickBot="1" x14ac:dyDescent="0.3">
      <c r="B60" s="18" t="s">
        <v>53</v>
      </c>
      <c r="C60" s="19" t="s">
        <v>54</v>
      </c>
      <c r="D60" s="24" t="s">
        <v>56</v>
      </c>
      <c r="E60" s="56">
        <v>10500</v>
      </c>
      <c r="F60" s="57">
        <f>E60*1.08</f>
        <v>11340</v>
      </c>
      <c r="G60" s="58">
        <f>F60/288</f>
        <v>39.375</v>
      </c>
      <c r="H60" s="57">
        <f>I60/1.08</f>
        <v>10000</v>
      </c>
      <c r="I60" s="57">
        <v>10800</v>
      </c>
      <c r="J60" s="58">
        <f t="shared" si="6"/>
        <v>37.5</v>
      </c>
      <c r="K60" s="57">
        <f>L60/1.08</f>
        <v>7749.9999999999991</v>
      </c>
      <c r="L60" s="57">
        <v>8370</v>
      </c>
      <c r="M60" s="59">
        <f t="shared" si="1"/>
        <v>29.0625</v>
      </c>
      <c r="N60" s="57">
        <f>O60/1.08</f>
        <v>11600</v>
      </c>
      <c r="O60" s="57">
        <v>12528</v>
      </c>
      <c r="P60" s="59">
        <f t="shared" si="7"/>
        <v>43.5</v>
      </c>
      <c r="Q60" s="57">
        <f>R60/1.08</f>
        <v>20000</v>
      </c>
      <c r="R60" s="57">
        <v>21600</v>
      </c>
      <c r="S60" s="60">
        <f t="shared" si="5"/>
        <v>75</v>
      </c>
      <c r="T60" s="56">
        <v>2500</v>
      </c>
      <c r="U60" s="57">
        <f>T60*1.08</f>
        <v>2700</v>
      </c>
      <c r="V60" s="61">
        <f>U60/288</f>
        <v>9.375</v>
      </c>
      <c r="W60" s="56">
        <v>1500</v>
      </c>
      <c r="X60" s="57">
        <f>W60*1.08</f>
        <v>1620</v>
      </c>
      <c r="Y60" s="60">
        <f>X60/288</f>
        <v>5.625</v>
      </c>
      <c r="Z60" s="56">
        <v>2350</v>
      </c>
      <c r="AA60" s="57">
        <f>Z60*1.08</f>
        <v>2538</v>
      </c>
      <c r="AB60" s="61">
        <f>AA60/288</f>
        <v>8.8125</v>
      </c>
      <c r="AC60" s="56">
        <v>975</v>
      </c>
      <c r="AD60" s="57">
        <f>AC60*1.08</f>
        <v>1053</v>
      </c>
      <c r="AE60" s="60">
        <f>AD60/288</f>
        <v>3.65625</v>
      </c>
      <c r="AF60" s="56">
        <v>3500</v>
      </c>
      <c r="AG60" s="57">
        <f>AF60*1.08</f>
        <v>3780.0000000000005</v>
      </c>
      <c r="AH60" s="60">
        <f t="shared" si="8"/>
        <v>13.125000000000002</v>
      </c>
    </row>
    <row r="61" spans="2:34" ht="19" x14ac:dyDescent="0.25">
      <c r="B61" s="27"/>
      <c r="C61" s="28"/>
    </row>
    <row r="62" spans="2:34" ht="19" x14ac:dyDescent="0.25">
      <c r="B62" s="9"/>
      <c r="D62" t="s">
        <v>61</v>
      </c>
    </row>
    <row r="63" spans="2:34" x14ac:dyDescent="0.2">
      <c r="C63" s="8"/>
    </row>
  </sheetData>
  <autoFilter ref="B6:AH60" xr:uid="{4C87CAB4-CA4F-4960-82E6-AF8EDB41B06C}">
    <sortState xmlns:xlrd2="http://schemas.microsoft.com/office/spreadsheetml/2017/richdata2" ref="B8:AH51">
      <sortCondition ref="C6:C60"/>
    </sortState>
  </autoFilter>
  <mergeCells count="20">
    <mergeCell ref="AF4:AH4"/>
    <mergeCell ref="AF5:AH5"/>
    <mergeCell ref="H5:J5"/>
    <mergeCell ref="K5:M5"/>
    <mergeCell ref="W5:Y5"/>
    <mergeCell ref="Z5:AB5"/>
    <mergeCell ref="Z4:AB4"/>
    <mergeCell ref="AC4:AE4"/>
    <mergeCell ref="AC5:AE5"/>
    <mergeCell ref="N4:P4"/>
    <mergeCell ref="E4:G4"/>
    <mergeCell ref="Q4:S4"/>
    <mergeCell ref="T4:V4"/>
    <mergeCell ref="W4:Y4"/>
    <mergeCell ref="B4:C4"/>
    <mergeCell ref="B61:C61"/>
    <mergeCell ref="AD1:AE1"/>
    <mergeCell ref="R5:S5"/>
    <mergeCell ref="H4:J4"/>
    <mergeCell ref="K4:M4"/>
  </mergeCells>
  <conditionalFormatting sqref="I6">
    <cfRule type="dataBar" priority="68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{098B836F-69A2-FC44-AA54-98A7A46BA7DD}</x14:id>
        </ext>
      </extLst>
    </cfRule>
  </conditionalFormatting>
  <conditionalFormatting sqref="U64:W1048576 U1:W2 U5:W5 U61:W62">
    <cfRule type="dataBar" priority="97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{3C2B9D33-9340-9F42-B322-4D18B482638D}</x14:id>
        </ext>
      </extLst>
    </cfRule>
  </conditionalFormatting>
  <conditionalFormatting sqref="F6">
    <cfRule type="dataBar" priority="11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{0D91E47E-AA03-4541-A969-F98A520B3C53}</x14:id>
        </ext>
      </extLst>
    </cfRule>
  </conditionalFormatting>
  <conditionalFormatting sqref="R6">
    <cfRule type="dataBar" priority="8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{3966BF25-E92B-0042-B4F2-4100E61E87C4}</x14:id>
        </ext>
      </extLst>
    </cfRule>
  </conditionalFormatting>
  <conditionalFormatting sqref="X64:AH1048576 X1:AC2 AD2:AH2 Z5 X61:AH62 AC5 AF5">
    <cfRule type="dataBar" priority="98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{C8FC5AB9-3E64-2244-B1E4-AB70513141BD}</x14:id>
        </ext>
      </extLst>
    </cfRule>
  </conditionalFormatting>
  <conditionalFormatting sqref="L6">
    <cfRule type="dataBar" priority="7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{D3524AFF-D577-5A4B-B826-1CC3D342D9F5}</x14:id>
        </ext>
      </extLst>
    </cfRule>
  </conditionalFormatting>
  <conditionalFormatting sqref="O6">
    <cfRule type="dataBar" priority="6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{DDC7E26A-7507-6341-9315-75B0C5D34BF9}</x14:id>
        </ext>
      </extLst>
    </cfRule>
  </conditionalFormatting>
  <conditionalFormatting sqref="U6">
    <cfRule type="dataBar" priority="5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{2111D26B-3E35-7542-A4E6-012B2AC21A04}</x14:id>
        </ext>
      </extLst>
    </cfRule>
  </conditionalFormatting>
  <conditionalFormatting sqref="X6">
    <cfRule type="dataBar" priority="4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{3EC7885D-1542-C04B-ACF0-5203A99F7C1E}</x14:id>
        </ext>
      </extLst>
    </cfRule>
  </conditionalFormatting>
  <conditionalFormatting sqref="AA6">
    <cfRule type="dataBar" priority="3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{B2E9BEC0-CE15-F24D-9F01-900BCB0CB691}</x14:id>
        </ext>
      </extLst>
    </cfRule>
  </conditionalFormatting>
  <conditionalFormatting sqref="AD6">
    <cfRule type="dataBar" priority="2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{1CDD1440-EA90-384E-A2F8-38CDF3392C70}</x14:id>
        </ext>
      </extLst>
    </cfRule>
  </conditionalFormatting>
  <conditionalFormatting sqref="AG6">
    <cfRule type="dataBar" priority="1">
      <dataBar>
        <cfvo type="min"/>
        <cfvo type="max"/>
        <color rgb="FFE5EEF0"/>
      </dataBar>
      <extLst>
        <ext xmlns:x14="http://schemas.microsoft.com/office/spreadsheetml/2009/9/main" uri="{B025F937-C7B1-47D3-B67F-A62EFF666E3E}">
          <x14:id>{24BAC657-5B20-044E-84ED-A97D91C6E2FC}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B836F-69A2-FC44-AA54-98A7A46BA7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</xm:sqref>
        </x14:conditionalFormatting>
        <x14:conditionalFormatting xmlns:xm="http://schemas.microsoft.com/office/excel/2006/main">
          <x14:cfRule type="dataBar" id="{3C2B9D33-9340-9F42-B322-4D18B4826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U64:W1048576 U1:W2 U5:W5 U61:W62</xm:sqref>
        </x14:conditionalFormatting>
        <x14:conditionalFormatting xmlns:xm="http://schemas.microsoft.com/office/excel/2006/main">
          <x14:cfRule type="dataBar" id="{0D91E47E-AA03-4541-A969-F98A520B3C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3966BF25-E92B-0042-B4F2-4100E61E87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C8FC5AB9-3E64-2244-B1E4-AB70513141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X64:AH1048576 X1:AC2 AD2:AH2 Z5 X61:AH62 AC5 AF5</xm:sqref>
        </x14:conditionalFormatting>
        <x14:conditionalFormatting xmlns:xm="http://schemas.microsoft.com/office/excel/2006/main">
          <x14:cfRule type="dataBar" id="{D3524AFF-D577-5A4B-B826-1CC3D342D9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</xm:sqref>
        </x14:conditionalFormatting>
        <x14:conditionalFormatting xmlns:xm="http://schemas.microsoft.com/office/excel/2006/main">
          <x14:cfRule type="dataBar" id="{DDC7E26A-7507-6341-9315-75B0C5D34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</xm:sqref>
        </x14:conditionalFormatting>
        <x14:conditionalFormatting xmlns:xm="http://schemas.microsoft.com/office/excel/2006/main">
          <x14:cfRule type="dataBar" id="{2111D26B-3E35-7542-A4E6-012B2AC21A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U6</xm:sqref>
        </x14:conditionalFormatting>
        <x14:conditionalFormatting xmlns:xm="http://schemas.microsoft.com/office/excel/2006/main">
          <x14:cfRule type="dataBar" id="{3EC7885D-1542-C04B-ACF0-5203A99F7C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B2E9BEC0-CE15-F24D-9F01-900BCB0CB6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AA6</xm:sqref>
        </x14:conditionalFormatting>
        <x14:conditionalFormatting xmlns:xm="http://schemas.microsoft.com/office/excel/2006/main">
          <x14:cfRule type="dataBar" id="{1CDD1440-EA90-384E-A2F8-38CDF3392C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AD6</xm:sqref>
        </x14:conditionalFormatting>
        <x14:conditionalFormatting xmlns:xm="http://schemas.microsoft.com/office/excel/2006/main">
          <x14:cfRule type="dataBar" id="{24BAC657-5B20-044E-84ED-A97D91C6E2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w E A A B Q S w M E F A A C A A g A U k 8 + U + 6 D e F y p A A A A + A A A A B I A H A B D b 2 5 m a W c v U G F j a 2 F n Z S 5 4 b W w g o h g A K K A U A A A A A A A A A A A A A A A A A A A A A A A A A A A A h Y / R C o I w G I V f R X b v N s 1 Q 5 H d e B F 0 l R E F 0 O 9 b U k c 5 w s / l u X f R I v U J C W d 1 1 e Q 7 f g e 8 8 b n f I x 7 b x r r I 3 q t M Z C j B F n t S i O y l d Z W i w p Z + g n M G W i z O v p D f B 2 q S j U R m q r b 2 k h D j n s F v g r q 9 I S G l A j s V m L 2 r Z c l 9 p Y 7 k W E n 1 W p / 8 r x O D w k m E h j h O 8 j C O K o y Q A M t d Q K P 1 F w s k Y U y A / J a y G x g 6 9 Z G X v r 3 d A 5 g j k / Y I 9 A V B L A w Q U A A I A C A B S T z 5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k 8 + U z G R Z s f x A Q A A C Q U A A B M A H A B G b 3 J t d W x h c y 9 T Z W N 0 a W 9 u M S 5 t I K I Y A C i g F A A A A A A A A A A A A A A A A A A A A A A A A A A A A K 2 T X W / a M B S G 7 5 H 4 D 1 Z 6 A 1 K I S t R V 2 q p c d A l d k d a J E d g u y l Q Z 5 z Q c y b G R P 6 A M 9 b / P A a Z + x N n V c u P k f V 6 / P s d 2 N D C D U p D 8 O A 6 v u p 1 u R 6 + o g o K c B S N t s K I 1 0 A M 3 s h U U g / g 8 H j 6 c f 3 y I L w Z r h c w p 8 9 w j j q y S a 3 g F A p I Q D q b b I e 7 J p V U M n J L q T Z R J Z i s Q p n e D H K J U C u M + d C 9 I P y 3 m G p R e c G l R Q 6 Q p i g J c / A r F I p N b w S U t 9 O J / F h k x v Q n 6 4 X 0 G H C s 0 o J I g D E K S S m 4 r o Z P 4 M i Q j w W S B o k y G 8 Y c 4 J N + t N J C b H Y f k 5 T X 6 J g X 8 6 o f H Z s + C i Z K V Y w W 5 B e o 6 0 P V e z O j S G U / k p P e O + x K S + 5 N + z X n O K K d K J 0 b Z 1 5 H p i o r S J c 5 2 a 3 i J m y k q 9 K N U 1 b H i G u q e Z / 1 w v w 8 y 0 E z h u t 4 4 1 6 J x V m L g y T y H Z B 8 c U t + L L l M q j 2 q F U b u G P o X S l 5 z b J W l B K a d a 4 y M y 6 q 3 J 1 Y u l 8 L O J l I r c 1 Y d P b j g t G / y 6 W m J p p d X E b U V h G S i / 7 y c K I O O i o X 9 R c u v m e E g 9 o 1 n O a R E P g A J Z f R K T + g a S u W 4 m f p V b c r r T f s M t l q t / O 6 b g / p t N S / w W B R l n T h 8 L c 3 k R 1 U d 9 A D 9 Q G F p C E 3 y W x n A g O f 4 G c s d b + e E i N O n 7 l n u j + b T f t L 3 p u s X z t v E W 0 9 / e P f i 5 3 + 2 g 8 P 5 B V 3 8 A U E s B A i 0 A F A A C A A g A U k 8 + U + 6 D e F y p A A A A + A A A A B I A A A A A A A A A A A A A A A A A A A A A A E N v b m Z p Z y 9 Q Y W N r Y W d l L n h t b F B L A Q I t A B Q A A g A I A F J P P l M P y u m r p A A A A O k A A A A T A A A A A A A A A A A A A A A A A P U A A A B b Q 2 9 u d G V u d F 9 U e X B l c 1 0 u e G 1 s U E s B A i 0 A F A A C A A g A U k 8 + U z G R Z s f x A Q A A C Q U A A B M A A A A A A A A A A A A A A A A A 5 g E A A E Z v c m 1 1 b G F z L 1 N l Y 3 R p b 2 4 x L m 1 Q S w U G A A A A A A M A A w D C A A A A J A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y U A A A A A A A B F J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z d G l t Y X R p b 2 5 z L W 1 h d G N o Z W Q t M j A y M V 8 w O V 8 y N C 1 w c m l j Z W Q t V V M t M j A y M V 8 w O V 8 y N C 1 w c m l j Z W Q t R X V y b 3 B l L T I w M j F f M D l f M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S 0 y N F Q x N T o 0 N z o x N i 4 z M z c 2 N D Q 0 W i I g L z 4 8 R W 5 0 c n k g V H l w Z T 0 i R m l s b E N v b H V t b l R 5 c G V z I i B W Y W x 1 Z T 0 i c 0 J n W U d C Z 1 l H Q m d Z R 0 J n W U d C Z 1 l H Q m d Z R 0 F 3 T U R B d 0 1 E Q X d N P S I g L z 4 8 R W 5 0 c n k g V H l w Z T 0 i R m l s b E N v b H V t b k 5 h b W V z I i B W Y W x 1 Z T 0 i c 1 s m c X V v d D t E Z X N j c m l w d G l v b i Z x d W 9 0 O y w m c X V v d D t U e X B l J n F 1 b 3 Q 7 L C Z x d W 9 0 O 0 N v b G 9 y J n F 1 b 3 Q 7 L C Z x d W 9 0 O 0 N v d W 5 0 c n k m c X V v d D s s J n F 1 b 3 Q 7 U m V n a W 9 u J n F 1 b 3 Q 7 L C Z x d W 9 0 O 1 N 1 Y i B S Z W d p b 2 4 m c X V v d D s s J n F 1 b 3 Q 7 Q 2 x h c 3 N p Z m l j Y X R p b 2 4 m c X V v d D s s J n F 1 b 3 Q 7 R G V z a W d u Y X R p b 2 4 m c X V v d D s s J n F 1 b 3 Q 7 U G 9 v c i B N Y X R j a C B G b G F n J n F 1 b 3 Q 7 L C Z x d W 9 0 O 0 F t Y m l n d W 9 1 c y B Q c m 9 k d W N l c i B G b G F n J n F 1 b 3 Q 7 L C Z x d W 9 0 O 1 d p b m U g S W Q m c X V v d D s s J n F 1 b 3 Q 7 R 3 J v d 2 V y I E l k J n F 1 b 3 Q 7 L C Z x d W 9 0 O 1 d p b m U m c X V v d D s s J n F 1 b 3 Q 7 U H J v Z H V j Z X I m c X V v d D s s J n F 1 b 3 Q 7 U H J l Z G l j d G V k I F B y a W N l I F V z Z C Z x d W 9 0 O y w m c X V v d D t M b 3 c g R X N 0 a W 1 h d G U g V X N k J n F 1 b 3 Q 7 L C Z x d W 9 0 O 0 h p Z 2 g g R X N 0 a W 1 h d G U g V X N k J n F 1 b 3 Q 7 L C Z x d W 9 0 O 1 J l c 2 V y d m U g V X N k J n F 1 b 3 Q 7 L C Z x d W 9 0 O 0 x 3 a W 4 g S U Q m c X V v d D s s J n F 1 b 3 Q 7 V m l u d G F n Z S Z x d W 9 0 O y w m c X V v d D t C b 3 R 0 b G U g U 2 l 6 Z S B N b C Z x d W 9 0 O y w m c X V v d D t C b 3 R 0 b G U g Q 2 9 1 b n Q m c X V v d D s s J n F 1 b 3 Q 7 U H J l Z G l j d G V k I F B y a W N l I C h F V V I p J n F 1 b 3 Q 7 L C Z x d W 9 0 O 0 x v d y B F c 3 R p b W F 0 Z S A o R V V S K S Z x d W 9 0 O y w m c X V v d D t I a W d o I E V z d G l t Y X R l I C h F V V I p J n F 1 b 3 Q 7 L C Z x d W 9 0 O 1 J l c 2 V y d m U g K E V V U i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R l c 2 N y a X B 0 a W 9 u L D B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U e X B l L D F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D b 2 x v c i w y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Q 2 9 1 b n R y e S w z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U m V n a W 9 u L D R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T d W I g U m V n a W 9 u L D V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D b G F z c 2 l m a W N h d G l v b i w 2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R G V z a W d u Y X R p b 2 4 s N 3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B v b 3 I g T W F 0 Y 2 g g R m x h Z y w 4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Q W 1 i a W d 1 b 3 V z I F B y b 2 R 1 Y 2 V y I E Z s Y W c s O X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d p b m U g S W Q s M T B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H c m 9 3 Z X I g S W Q s M T F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X a W 5 l L D E y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U H J v Z H V j Z X I s M T N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Q c m V k a W N 0 Z W Q g U H J p Y 2 U g V X N k L D E 0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T G 9 3 I E V z d G l t Y X R l I F V z Z C w x N X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h p Z 2 g g R X N 0 a W 1 h d G U g V X N k L D E 2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U m V z Z X J 2 Z S B V c 2 Q s M T d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M d 2 l u I E l E L D E 4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V m l u d G F n Z S w x O X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J v d H R s Z S B T a X p l I E 1 s L D I w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Q m 9 0 d G x l I E N v d W 5 0 L D I x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U H J l Z G l j d G V k I F B y a W N l I C h F V V I p L D I y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T G 9 3 I E V z d G l t Y X R l I C h F V V I p L D I z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S G l n a C B F c 3 R p b W F 0 Z S A o R V V S K S w y N H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J l c 2 V y d m U g K E V V U i k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R G V z Y 3 J p c H R p b 2 4 s M H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R 5 c G U s M X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N v b G 9 y L D J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D b 3 V u d H J 5 L D N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S Z W d p b 2 4 s N H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N 1 Y i B S Z W d p b 2 4 s N X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N s Y X N z a W Z p Y 2 F 0 a W 9 u L D Z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E Z X N p Z 2 5 h d G l v b i w 3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U G 9 v c i B N Y X R j a C B G b G F n L D h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B b W J p Z 3 V v d X M g U H J v Z H V j Z X I g R m x h Z y w 5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V 2 l u Z S B J Z C w x M H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d y b 3 d l c i B J Z C w x M X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d p b m U s M T J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Q c m 9 k d W N l c i w x M 3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1 B y Z W R p Y 3 R l Z C B Q c m l j Z S B V c 2 Q s M T R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M b 3 c g R X N 0 a W 1 h d G U g V X N k L D E 1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S G l n a C B F c 3 R p b W F 0 Z S B V c 2 Q s M T Z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S Z X N l c n Z l I F V z Z C w x N 3 0 m c X V v d D s s J n F 1 b 3 Q 7 U 2 V j d G l v b j E v R X N 0 a W 1 h d G l v b n M t b W F 0 Y 2 h l Z C 0 y M D I x X z A 5 X z I 0 L X B y a W N l Z C 1 V U y 0 y M D I x X z A 5 X z I 0 L X B y a W N l Z C 1 F d X J v c G U t M j A y M V 8 w O V 8 y N C 9 D a G F u Z 2 V k I F R 5 c G U u e 0 x 3 a W 4 g S U Q s M T h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W a W 5 0 Y W d l L D E 5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Q m 9 0 d G x l I F N p e m U g T W w s M j B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C b 3 R 0 b G U g Q 2 9 1 b n Q s M j F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Q c m V k a W N 0 Z W Q g U H J p Y 2 U g K E V V U i k s M j J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M b 3 c g R X N 0 a W 1 h d G U g K E V V U i k s M j N 9 J n F 1 b 3 Q 7 L C Z x d W 9 0 O 1 N l Y 3 R p b 2 4 x L 0 V z d G l t Y X R p b 2 5 z L W 1 h d G N o Z W Q t M j A y M V 8 w O V 8 y N C 1 w c m l j Z W Q t V V M t M j A y M V 8 w O V 8 y N C 1 w c m l j Z W Q t R X V y b 3 B l L T I w M j F f M D l f M j Q v Q 2 h h b m d l Z C B U e X B l L n t I a W d o I E V z d G l t Y X R l I C h F V V I p L D I 0 f S Z x d W 9 0 O y w m c X V v d D t T Z W N 0 a W 9 u M S 9 F c 3 R p b W F 0 a W 9 u c y 1 t Y X R j a G V k L T I w M j F f M D l f M j Q t c H J p Y 2 V k L V V T L T I w M j F f M D l f M j Q t c H J p Y 2 V k L U V 1 c m 9 w Z S 0 y M D I x X z A 5 X z I 0 L 0 N o Y W 5 n Z W Q g V H l w Z S 5 7 U m V z Z X J 2 Z S A o R V V S K S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z d G l t Y X R p b 2 5 z L W 1 h d G N o Z W Q t M j A y M V 8 w O V 8 y N C 1 w c m l j Z W Q t V V M t M j A y M V 8 w O V 8 y N C 1 w c m l j Z W Q t R X V y b 3 B l L T I w M j F f M D l f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N 0 a W 1 h d G l v b n M t b W F 0 Y 2 h l Z C 0 y M D I x X z A 5 X z I 0 L X B y a W N l Z C 1 V U y 0 y M D I x X z A 5 X z I 0 L X B y a W N l Z C 1 F d X J v c G U t M j A y M V 8 w O V 8 y N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3 R p b W F 0 a W 9 u c y 1 t Y X R j a G V k L T I w M j F f M D l f M j Q t c H J p Y 2 V k L V V T L T I w M j F f M D l f M j Q t c H J p Y 2 V k L U V 1 c m 9 w Z S 0 y M D I x X z A 5 X z I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9 T M h / I W z Z H p 5 9 k L M p L I U Y A A A A A A g A A A A A A A 2 Y A A M A A A A A Q A A A A S P b V a A K r U F m p o E J 9 t m G L n Q A A A A A E g A A A o A A A A B A A A A C o R 7 H t q M c D R 2 D 5 4 M k l s W 0 c U A A A A C Y Q c q n K B q 9 L e Y 2 k q 4 m B M g E L 0 f 9 z P j N 8 v 7 4 t x L K x X P / j i 3 X J N W H o W c F Y t I c o l 2 5 D H x s B a 8 f Q Q 7 p e L / x d B 6 t L K B D U J D b W O F d n 1 A Q w 2 z 0 E 1 P b a F A A A A O X r o p f q 2 W W X 8 P J i D S e W 2 L w d F 1 V a < / D a t a M a s h u p > 
</file>

<file path=customXml/itemProps1.xml><?xml version="1.0" encoding="utf-8"?>
<ds:datastoreItem xmlns:ds="http://schemas.openxmlformats.org/officeDocument/2006/customXml" ds:itemID="{465B002A-5993-4284-B3CE-96AABAF3E7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All Cuvées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Aouli, Amayès</dc:creator>
  <cp:lastModifiedBy>Roznowski, Tristan</cp:lastModifiedBy>
  <cp:lastPrinted>2022-08-01T13:43:25Z</cp:lastPrinted>
  <dcterms:created xsi:type="dcterms:W3CDTF">2021-09-24T15:47:51Z</dcterms:created>
  <dcterms:modified xsi:type="dcterms:W3CDTF">2026-03-26T09:33:36Z</dcterms:modified>
</cp:coreProperties>
</file>