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WINE&amp;SPIRIT\Wine Interns\Jean\"/>
    </mc:Choice>
  </mc:AlternateContent>
  <xr:revisionPtr revIDLastSave="0" documentId="13_ncr:1_{010A076F-CD3C-40DF-A99A-EFF7061421D8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All Cuvées" sheetId="6" r:id="rId1"/>
    <sheet name="Red Cuvées" sheetId="3" r:id="rId2"/>
    <sheet name="White Cuvées" sheetId="4" r:id="rId3"/>
    <sheet name="Alcohol Cuvées" sheetId="7" r:id="rId4"/>
  </sheets>
  <definedNames>
    <definedName name="_xlnm._FilterDatabase" localSheetId="3" hidden="1">'Alcohol Cuvées'!$D$5:$N$5</definedName>
    <definedName name="_xlnm._FilterDatabase" localSheetId="0" hidden="1">'All Cuvées'!$B$7:$T$61</definedName>
    <definedName name="_xlnm._FilterDatabase" localSheetId="1" hidden="1">'Red Cuvées'!$C$5:$V$39</definedName>
    <definedName name="_xlnm._FilterDatabase" localSheetId="2" hidden="1">'White Cuvées'!$B$5:$U$5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7" l="1"/>
  <c r="F7" i="7"/>
  <c r="M8" i="4"/>
  <c r="O8" i="4"/>
  <c r="Q8" i="4"/>
  <c r="S8" i="4"/>
  <c r="U8" i="4"/>
  <c r="K8" i="4"/>
  <c r="I8" i="4"/>
  <c r="F10" i="6"/>
  <c r="F30" i="6"/>
  <c r="F34" i="6" l="1"/>
  <c r="F35" i="6"/>
  <c r="F36" i="6"/>
  <c r="F42" i="6"/>
  <c r="F43" i="6"/>
  <c r="F44" i="6"/>
  <c r="F50" i="6"/>
  <c r="F51" i="6"/>
  <c r="F52" i="6"/>
  <c r="F58" i="6"/>
  <c r="F59" i="6"/>
  <c r="F60" i="6"/>
  <c r="F9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31" i="6"/>
  <c r="F27" i="6"/>
  <c r="F28" i="6"/>
  <c r="F29" i="6"/>
  <c r="F26" i="6"/>
  <c r="F32" i="6"/>
  <c r="F33" i="6"/>
  <c r="F37" i="6"/>
  <c r="F38" i="6"/>
  <c r="F39" i="6"/>
  <c r="F40" i="6"/>
  <c r="F41" i="6"/>
  <c r="F45" i="6"/>
  <c r="F46" i="6"/>
  <c r="F47" i="6"/>
  <c r="F48" i="6"/>
  <c r="F49" i="6"/>
  <c r="F53" i="6"/>
  <c r="F54" i="6"/>
  <c r="F55" i="6"/>
  <c r="F56" i="6"/>
  <c r="F57" i="6"/>
  <c r="F61" i="6"/>
  <c r="F8" i="6"/>
  <c r="J6" i="7"/>
  <c r="H7" i="7"/>
  <c r="N7" i="7"/>
  <c r="L7" i="7"/>
  <c r="J7" i="7"/>
  <c r="N6" i="7"/>
  <c r="L6" i="7"/>
  <c r="G6" i="7"/>
  <c r="H6" i="7" s="1"/>
  <c r="J61" i="6"/>
  <c r="L61" i="6"/>
  <c r="G60" i="6"/>
  <c r="H60" i="6" s="1"/>
  <c r="H61" i="6"/>
  <c r="G57" i="6"/>
  <c r="J60" i="6" l="1"/>
  <c r="L60" i="6" s="1"/>
  <c r="N60" i="6" s="1"/>
  <c r="P60" i="6" s="1"/>
  <c r="R60" i="6" s="1"/>
  <c r="S60" i="6" s="1"/>
  <c r="T60" i="6" s="1"/>
  <c r="N61" i="6"/>
  <c r="P61" i="6" s="1"/>
  <c r="Q61" i="6" s="1"/>
  <c r="R61" i="6" s="1"/>
  <c r="S61" i="6" s="1"/>
  <c r="T61" i="6" s="1"/>
  <c r="G59" i="6"/>
  <c r="G58" i="6"/>
  <c r="G56" i="6"/>
  <c r="G55" i="6"/>
  <c r="G54" i="6"/>
  <c r="G53" i="6"/>
  <c r="G52" i="6"/>
  <c r="G51" i="6"/>
  <c r="G49" i="6"/>
  <c r="G47" i="6"/>
  <c r="G48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26" i="6"/>
  <c r="G28" i="6"/>
  <c r="G27" i="6"/>
  <c r="G25" i="6"/>
  <c r="G24" i="6"/>
  <c r="G23" i="6"/>
  <c r="G21" i="6"/>
  <c r="G20" i="6"/>
  <c r="G19" i="6"/>
  <c r="G18" i="6"/>
  <c r="G17" i="6"/>
  <c r="G16" i="6"/>
  <c r="G15" i="6"/>
  <c r="G14" i="6"/>
  <c r="G12" i="6"/>
  <c r="G11" i="6"/>
  <c r="G8" i="6"/>
  <c r="H59" i="6" l="1"/>
  <c r="H58" i="6"/>
  <c r="H57" i="6"/>
  <c r="H56" i="6"/>
  <c r="H55" i="6"/>
  <c r="H54" i="6"/>
  <c r="H53" i="6"/>
  <c r="H52" i="6"/>
  <c r="H48" i="6"/>
  <c r="H47" i="6"/>
  <c r="H46" i="6"/>
  <c r="H45" i="6"/>
  <c r="H44" i="6"/>
  <c r="H43" i="6"/>
  <c r="H42" i="6"/>
  <c r="H34" i="6"/>
  <c r="H33" i="6"/>
  <c r="H29" i="6"/>
  <c r="H28" i="6"/>
  <c r="H27" i="6"/>
  <c r="H24" i="6"/>
  <c r="H23" i="6"/>
  <c r="H21" i="6"/>
  <c r="H20" i="6"/>
  <c r="H19" i="6"/>
  <c r="H18" i="6"/>
  <c r="H17" i="6"/>
  <c r="H16" i="6"/>
  <c r="H15" i="6"/>
  <c r="H14" i="6"/>
  <c r="H13" i="6"/>
  <c r="H12" i="6"/>
  <c r="H8" i="6"/>
  <c r="H51" i="6"/>
  <c r="H50" i="6"/>
  <c r="H49" i="6"/>
  <c r="H41" i="6"/>
  <c r="H40" i="6"/>
  <c r="H39" i="6"/>
  <c r="H38" i="6"/>
  <c r="H37" i="6"/>
  <c r="H36" i="6"/>
  <c r="H35" i="6"/>
  <c r="H32" i="6"/>
  <c r="H26" i="6"/>
  <c r="H31" i="6"/>
  <c r="H25" i="6"/>
  <c r="H22" i="6"/>
  <c r="H11" i="6"/>
  <c r="H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Estimations-matched-2021_09_24-priced-US-2021_09_24-priced-Europe-2021_09_24" description="Connection to the 'Estimations-matched-2021_09_24-priced-US-2021_09_24-priced-Europe-2021_09_24' query in the workbook." type="5" refreshedVersion="6" background="1" saveData="1">
    <dbPr connection="Provider=Microsoft.Mashup.OleDb.1;Data Source=$Workbook$;Location=Estimations-matched-2021_09_24-priced-US-2021_09_24-priced-Europe-2021_09_24;Extended Properties=&quot;&quot;" command="SELECT * FROM [Estimations-matched-2021_09_24-priced-US-2021_09_24-priced-Europe-2021_09_24]"/>
  </connection>
</connections>
</file>

<file path=xl/sharedStrings.xml><?xml version="1.0" encoding="utf-8"?>
<sst xmlns="http://schemas.openxmlformats.org/spreadsheetml/2006/main" count="450" uniqueCount="93">
  <si>
    <t>Grand Cru</t>
  </si>
  <si>
    <t>Barrel</t>
  </si>
  <si>
    <t>Premier Cru</t>
  </si>
  <si>
    <t>Per Bottle</t>
  </si>
  <si>
    <t>Village</t>
  </si>
  <si>
    <t>Cuvée</t>
  </si>
  <si>
    <t>Grape</t>
  </si>
  <si>
    <t>Red</t>
  </si>
  <si>
    <t>White</t>
  </si>
  <si>
    <t>Filter your selection by Grape, Cuvée or Cru</t>
  </si>
  <si>
    <t>Côte de Nuits</t>
  </si>
  <si>
    <t>Côte de Beaune</t>
  </si>
  <si>
    <t>Chablis</t>
  </si>
  <si>
    <t>Maconnais</t>
  </si>
  <si>
    <t>Auxey Duresses</t>
  </si>
  <si>
    <t>Beaune</t>
  </si>
  <si>
    <t>Monthélie</t>
  </si>
  <si>
    <t>Pommard</t>
  </si>
  <si>
    <t>Santenay</t>
  </si>
  <si>
    <t>Volnay</t>
  </si>
  <si>
    <t>Savigny Lès Beaune</t>
  </si>
  <si>
    <t>Echezeaux</t>
  </si>
  <si>
    <t>Morey Saint Denis</t>
  </si>
  <si>
    <t>Meursault</t>
  </si>
  <si>
    <t>Saint Romain</t>
  </si>
  <si>
    <t>Chassagne Montrachet</t>
  </si>
  <si>
    <t xml:space="preserve">Pouilly </t>
  </si>
  <si>
    <t>Pernand Vergelesses</t>
  </si>
  <si>
    <t>Région</t>
  </si>
  <si>
    <t>Niveau</t>
  </si>
  <si>
    <t>Beaune Blanc Premier Cru, Cuvée Suzanne et Raymond</t>
  </si>
  <si>
    <t>Beaune Premier Cru Les Grèves, Cuvée Pierre Floquet</t>
  </si>
  <si>
    <t>Beaune Premier Cru, Cuvée Brunet</t>
  </si>
  <si>
    <t>Beaune Premier Cru, Cuvée Clos des Avaux</t>
  </si>
  <si>
    <t>Beaune Premier Cru, Cuvée des Dames Hospitalières</t>
  </si>
  <si>
    <t>Beaune Premier Cru, Cuvée Guigone de Salins</t>
  </si>
  <si>
    <t>Beaune Premier Cru, Cuvée Hugues et Louis Bétault</t>
  </si>
  <si>
    <t>Beaune Premier Cru, Cuvée Maurice Drouhin</t>
  </si>
  <si>
    <t>Beaune Premier Cru, Cuvée Nicolas Rolin</t>
  </si>
  <si>
    <t>Beaune Premier Cru, Cuvée Rousseau Deslandes</t>
  </si>
  <si>
    <t>Clos de La Roche Grand Cru, Cuvée Georges Kritter</t>
  </si>
  <si>
    <t>Corton Blanc Grand Cru, Cuvée Docteur Peste</t>
  </si>
  <si>
    <t>Corton Charlemagne Grand Cru, Cuvée Roi Soleil</t>
  </si>
  <si>
    <t>Corton Grand Cru Clos du Roi, Cuvée Baronne du Baÿ</t>
  </si>
  <si>
    <t>Corton Grand Cru, Cuvée Charlotte Dumay</t>
  </si>
  <si>
    <t>Corton Grand Cru, Cuvée Docteur Peste</t>
  </si>
  <si>
    <t>Meursault Premier Cru Les Charmes, Cuvée Albert Grivault</t>
  </si>
  <si>
    <t>Meursault Premier Cru Les Charmes, Cuvée de Bahèzre de Lanlay</t>
  </si>
  <si>
    <t>Meursault Premier Cru Les Genevrières, Cuvée Baudot</t>
  </si>
  <si>
    <t>Meursault Premier Cru Les Genevrières, Cuvée Philippe Le Bon</t>
  </si>
  <si>
    <t>Meursault Premier Cru Les Porusots, Cuvée Jehan Humblot</t>
  </si>
  <si>
    <t>Meursault, Cuvée Goureau</t>
  </si>
  <si>
    <t>Meursault, Cuvée Loppin</t>
  </si>
  <si>
    <t>Monthélie Les Duresses, Cuvée Lebelin</t>
  </si>
  <si>
    <t>Pommard Premier Cru Les Epenots, Cuvée Dom Goblet</t>
  </si>
  <si>
    <t>Pommard Premier Cru, Cuvée Dames de la Charité</t>
  </si>
  <si>
    <t>Pommard, Cuvée Raymond Cyrot</t>
  </si>
  <si>
    <t>Pommard, Cuvée Suzanne Chaudron</t>
  </si>
  <si>
    <t>Santenay, Cuvée Christine Friedberg</t>
  </si>
  <si>
    <t>Volnay Premier Cru Les Santenots, Cuvée Gauvain</t>
  </si>
  <si>
    <t>Volnay Premier Cru Les Santenots, Cuvée Jéhan de Massol</t>
  </si>
  <si>
    <t>Volnay Premier Cru, Cuvée Blondeau</t>
  </si>
  <si>
    <t>Volnay Premier Cru, Cuvée Général Muteau</t>
  </si>
  <si>
    <t>Pommard, Cuvée Billardet</t>
  </si>
  <si>
    <t>Auxey Duresses Premier Cru Les Duresses, Cuvée Boillot</t>
  </si>
  <si>
    <t>Bâtard Montrachet Grand Cru, Cuvée Dames de Flandres</t>
  </si>
  <si>
    <t>Beaune Premier Cru Les Montrevenots, Cuvée Cyrot Chaudron</t>
  </si>
  <si>
    <t>Chablis Premier Cru Côte de Léchet, Cuvée Jean Marc Brocard</t>
  </si>
  <si>
    <t>Clos de la Roche Grand Cru, Cuvée Cyrot Chaudron</t>
  </si>
  <si>
    <t>Corton Charlemagne Grand Cru, Cuvée François de Salins</t>
  </si>
  <si>
    <t>Corton Vergennes Grand Cru, Cuvée Paul Chanson</t>
  </si>
  <si>
    <t>Échezeaux Grand Cru, Cuvée Jean Luc Bissey</t>
  </si>
  <si>
    <t>Mazis Chambertin Grand Cru, Cuvée Madeleine Collignon</t>
  </si>
  <si>
    <t>Pernand Vergelesses Premier Cru Les Vergelesses, Cuvée Rameau Lamarosse</t>
  </si>
  <si>
    <t>Pouilly Fuissé, Cuvée Françoise Poisard</t>
  </si>
  <si>
    <t>Puligny Montrachet, Cuvée Bernard Clerc</t>
  </si>
  <si>
    <t>Saint Romain, Cuvée Joseph Menault</t>
  </si>
  <si>
    <t>Savigny lès Beaune Premier Cru Les Vergelesses, Cuvée Forneret</t>
  </si>
  <si>
    <t>Savigny lès Beaune Premier Cru, Cuvée Arthur Girard</t>
  </si>
  <si>
    <t>Savigny lès Beaune Premier Cru, Cuvée Fouquerand</t>
  </si>
  <si>
    <t>White Wines   Average Aggregate price (hammer price + Buyer’s Premium), Eur</t>
  </si>
  <si>
    <t>Aloxe Corton</t>
  </si>
  <si>
    <t>Puligny Montrachet</t>
  </si>
  <si>
    <t>Red Wines   Average Aggregate price (hammer price + Buyer’s Premium), Eur</t>
  </si>
  <si>
    <t>Gevrey Chambertin</t>
  </si>
  <si>
    <t>Alcohol</t>
  </si>
  <si>
    <t>Fine de Bourgogne</t>
  </si>
  <si>
    <t>Eaux-de-Vie Marc de Bourgogne</t>
  </si>
  <si>
    <t>/</t>
  </si>
  <si>
    <t>Alcohol Average Aggregate price (hammer price + Buyer’s Premium), Eur</t>
  </si>
  <si>
    <t>Barrels</t>
  </si>
  <si>
    <t>Corton Grand Cru, Cuvée Les Renardes</t>
  </si>
  <si>
    <t>Beaune Blanc Premier Cru Clos des Mouches, Cuvée Hugues et Louis Bétault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</si>
</sst>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[$€-40C]_-;\-* #,##0\ [$€-40C]_-;_-* &quot;-&quot;??\ [$€-40C]_-;_-@_-"/>
    <numFmt numFmtId="166" formatCode="_-* #,##0\ &quot;€&quot;_-;\-* #,##0\ &quot;€&quot;_-;_-* &quot;-&quot;??\ &quot;€&quot;_-;_-@_-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8ED"/>
        <bgColor indexed="64"/>
      </patternFill>
    </fill>
    <fill>
      <patternFill patternType="solid">
        <fgColor rgb="FFF9EEEE"/>
        <bgColor indexed="64"/>
      </patternFill>
    </fill>
    <fill>
      <patternFill patternType="solid">
        <fgColor rgb="FFE5EEF0"/>
        <bgColor indexed="64"/>
      </patternFill>
    </fill>
    <fill>
      <patternFill patternType="solid">
        <fgColor rgb="FFFFF2EA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C4E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2" fillId="0" borderId="23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0" fillId="37" borderId="23" xfId="0" applyFont="1" applyFill="1" applyBorder="1" applyAlignment="1">
      <alignment horizontal="center" wrapText="1"/>
    </xf>
    <xf numFmtId="0" fontId="30" fillId="36" borderId="23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24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32" fillId="0" borderId="0" xfId="0" applyFont="1" applyBorder="1" applyAlignment="1">
      <alignment wrapText="1"/>
    </xf>
    <xf numFmtId="0" fontId="22" fillId="0" borderId="22" xfId="0" applyFont="1" applyFill="1" applyBorder="1" applyAlignment="1">
      <alignment wrapText="1"/>
    </xf>
    <xf numFmtId="0" fontId="22" fillId="0" borderId="23" xfId="0" applyFont="1" applyFill="1" applyBorder="1" applyAlignment="1"/>
    <xf numFmtId="0" fontId="22" fillId="0" borderId="23" xfId="0" applyFont="1" applyFill="1" applyBorder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center"/>
    </xf>
    <xf numFmtId="164" fontId="23" fillId="0" borderId="14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5" fontId="23" fillId="0" borderId="13" xfId="0" applyNumberFormat="1" applyFont="1" applyFill="1" applyBorder="1" applyAlignment="1">
      <alignment horizontal="right" wrapText="1"/>
    </xf>
    <xf numFmtId="165" fontId="25" fillId="0" borderId="14" xfId="0" applyNumberFormat="1" applyFont="1" applyFill="1" applyBorder="1" applyAlignment="1">
      <alignment horizontal="right" wrapText="1"/>
    </xf>
    <xf numFmtId="165" fontId="23" fillId="0" borderId="15" xfId="0" applyNumberFormat="1" applyFont="1" applyFill="1" applyBorder="1" applyAlignment="1">
      <alignment horizontal="right" wrapText="1"/>
    </xf>
    <xf numFmtId="165" fontId="25" fillId="0" borderId="16" xfId="0" applyNumberFormat="1" applyFont="1" applyFill="1" applyBorder="1" applyAlignment="1">
      <alignment horizontal="right" wrapText="1"/>
    </xf>
    <xf numFmtId="165" fontId="24" fillId="0" borderId="14" xfId="0" applyNumberFormat="1" applyFont="1" applyFill="1" applyBorder="1" applyAlignment="1">
      <alignment horizontal="right" wrapText="1"/>
    </xf>
    <xf numFmtId="165" fontId="22" fillId="0" borderId="13" xfId="0" applyNumberFormat="1" applyFont="1" applyFill="1" applyBorder="1" applyAlignment="1">
      <alignment horizontal="right" wrapText="1"/>
    </xf>
    <xf numFmtId="165" fontId="24" fillId="0" borderId="16" xfId="0" applyNumberFormat="1" applyFont="1" applyFill="1" applyBorder="1" applyAlignment="1">
      <alignment horizontal="right" wrapText="1"/>
    </xf>
    <xf numFmtId="166" fontId="30" fillId="37" borderId="13" xfId="42" applyNumberFormat="1" applyFont="1" applyFill="1" applyBorder="1" applyAlignment="1">
      <alignment horizontal="right" wrapText="1"/>
    </xf>
    <xf numFmtId="166" fontId="30" fillId="36" borderId="13" xfId="42" applyNumberFormat="1" applyFont="1" applyFill="1" applyBorder="1" applyAlignment="1">
      <alignment horizontal="right" wrapText="1"/>
    </xf>
    <xf numFmtId="166" fontId="31" fillId="0" borderId="14" xfId="0" applyNumberFormat="1" applyFont="1" applyFill="1" applyBorder="1" applyAlignment="1">
      <alignment horizontal="right" wrapText="1"/>
    </xf>
    <xf numFmtId="166" fontId="31" fillId="0" borderId="16" xfId="0" applyNumberFormat="1" applyFont="1" applyFill="1" applyBorder="1" applyAlignment="1">
      <alignment horizontal="right" wrapText="1"/>
    </xf>
    <xf numFmtId="166" fontId="31" fillId="38" borderId="14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/>
    </xf>
    <xf numFmtId="0" fontId="0" fillId="0" borderId="0" xfId="0" applyAlignment="1"/>
    <xf numFmtId="0" fontId="30" fillId="36" borderId="22" xfId="0" applyFont="1" applyFill="1" applyBorder="1" applyAlignment="1">
      <alignment horizontal="center" wrapText="1"/>
    </xf>
    <xf numFmtId="166" fontId="23" fillId="0" borderId="0" xfId="0" applyNumberFormat="1" applyFont="1" applyFill="1" applyBorder="1" applyAlignment="1">
      <alignment horizontal="left" vertical="center" wrapText="1"/>
    </xf>
    <xf numFmtId="166" fontId="23" fillId="37" borderId="13" xfId="42" applyNumberFormat="1" applyFont="1" applyFill="1" applyBorder="1" applyAlignment="1">
      <alignment horizontal="right" vertical="center" wrapText="1"/>
    </xf>
    <xf numFmtId="166" fontId="30" fillId="36" borderId="14" xfId="42" applyNumberFormat="1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34" borderId="18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wrapText="1"/>
    </xf>
    <xf numFmtId="165" fontId="23" fillId="0" borderId="21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Border="1" applyAlignment="1">
      <alignment horizontal="right" vertical="center" wrapText="1"/>
    </xf>
    <xf numFmtId="164" fontId="29" fillId="0" borderId="19" xfId="0" applyNumberFormat="1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left" vertical="center" wrapText="1"/>
    </xf>
    <xf numFmtId="166" fontId="31" fillId="36" borderId="0" xfId="42" applyNumberFormat="1" applyFont="1" applyFill="1" applyBorder="1" applyAlignment="1">
      <alignment horizontal="right" wrapText="1"/>
    </xf>
    <xf numFmtId="166" fontId="31" fillId="37" borderId="0" xfId="42" applyNumberFormat="1" applyFont="1" applyFill="1" applyBorder="1" applyAlignment="1">
      <alignment horizontal="right" wrapText="1"/>
    </xf>
    <xf numFmtId="166" fontId="30" fillId="36" borderId="0" xfId="42" applyNumberFormat="1" applyFont="1" applyFill="1" applyBorder="1" applyAlignment="1">
      <alignment horizontal="right" wrapText="1"/>
    </xf>
    <xf numFmtId="166" fontId="30" fillId="36" borderId="11" xfId="42" applyNumberFormat="1" applyFont="1" applyFill="1" applyBorder="1" applyAlignment="1">
      <alignment horizontal="right" wrapText="1"/>
    </xf>
    <xf numFmtId="166" fontId="30" fillId="36" borderId="12" xfId="42" applyNumberFormat="1" applyFont="1" applyFill="1" applyBorder="1" applyAlignment="1">
      <alignment horizontal="right" wrapText="1"/>
    </xf>
    <xf numFmtId="166" fontId="31" fillId="36" borderId="20" xfId="42" applyNumberFormat="1" applyFont="1" applyFill="1" applyBorder="1" applyAlignment="1">
      <alignment horizontal="right" wrapText="1"/>
    </xf>
    <xf numFmtId="166" fontId="30" fillId="36" borderId="20" xfId="42" applyNumberFormat="1" applyFont="1" applyFill="1" applyBorder="1" applyAlignment="1">
      <alignment horizontal="right" wrapText="1"/>
    </xf>
    <xf numFmtId="0" fontId="30" fillId="36" borderId="12" xfId="0" applyFont="1" applyFill="1" applyBorder="1" applyAlignment="1">
      <alignment wrapText="1"/>
    </xf>
    <xf numFmtId="0" fontId="30" fillId="37" borderId="14" xfId="0" applyFont="1" applyFill="1" applyBorder="1" applyAlignment="1">
      <alignment wrapText="1"/>
    </xf>
    <xf numFmtId="0" fontId="30" fillId="36" borderId="14" xfId="0" applyFont="1" applyFill="1" applyBorder="1" applyAlignment="1">
      <alignment wrapText="1"/>
    </xf>
    <xf numFmtId="0" fontId="30" fillId="36" borderId="14" xfId="0" applyFont="1" applyFill="1" applyBorder="1" applyAlignment="1"/>
    <xf numFmtId="0" fontId="22" fillId="36" borderId="14" xfId="0" applyFont="1" applyFill="1" applyBorder="1"/>
    <xf numFmtId="0" fontId="30" fillId="39" borderId="23" xfId="0" applyFont="1" applyFill="1" applyBorder="1" applyAlignment="1">
      <alignment horizontal="center" wrapText="1"/>
    </xf>
    <xf numFmtId="0" fontId="30" fillId="39" borderId="0" xfId="0" applyFont="1" applyFill="1" applyBorder="1" applyAlignment="1">
      <alignment wrapText="1"/>
    </xf>
    <xf numFmtId="166" fontId="30" fillId="39" borderId="13" xfId="42" applyNumberFormat="1" applyFont="1" applyFill="1" applyBorder="1" applyAlignment="1">
      <alignment horizontal="right" wrapText="1"/>
    </xf>
    <xf numFmtId="166" fontId="31" fillId="39" borderId="0" xfId="42" applyNumberFormat="1" applyFont="1" applyFill="1" applyBorder="1" applyAlignment="1">
      <alignment horizontal="right" wrapText="1"/>
    </xf>
    <xf numFmtId="166" fontId="31" fillId="39" borderId="14" xfId="42" applyNumberFormat="1" applyFont="1" applyFill="1" applyBorder="1" applyAlignment="1">
      <alignment horizontal="right" wrapText="1"/>
    </xf>
    <xf numFmtId="166" fontId="30" fillId="39" borderId="0" xfId="42" applyNumberFormat="1" applyFont="1" applyFill="1" applyBorder="1" applyAlignment="1">
      <alignment horizontal="right" wrapText="1"/>
    </xf>
    <xf numFmtId="166" fontId="31" fillId="39" borderId="13" xfId="42" applyNumberFormat="1" applyFont="1" applyFill="1" applyBorder="1" applyAlignment="1">
      <alignment horizontal="right" wrapText="1"/>
    </xf>
    <xf numFmtId="0" fontId="30" fillId="39" borderId="24" xfId="0" applyFont="1" applyFill="1" applyBorder="1" applyAlignment="1">
      <alignment horizontal="center" wrapText="1"/>
    </xf>
    <xf numFmtId="0" fontId="30" fillId="39" borderId="21" xfId="0" applyFont="1" applyFill="1" applyBorder="1" applyAlignment="1">
      <alignment wrapText="1"/>
    </xf>
    <xf numFmtId="166" fontId="30" fillId="39" borderId="15" xfId="42" applyNumberFormat="1" applyFont="1" applyFill="1" applyBorder="1" applyAlignment="1">
      <alignment horizontal="right" wrapText="1"/>
    </xf>
    <xf numFmtId="166" fontId="31" fillId="39" borderId="21" xfId="42" applyNumberFormat="1" applyFont="1" applyFill="1" applyBorder="1" applyAlignment="1">
      <alignment horizontal="right" wrapText="1"/>
    </xf>
    <xf numFmtId="166" fontId="31" fillId="39" borderId="16" xfId="42" applyNumberFormat="1" applyFont="1" applyFill="1" applyBorder="1" applyAlignment="1">
      <alignment horizontal="right" wrapText="1"/>
    </xf>
    <xf numFmtId="166" fontId="30" fillId="39" borderId="21" xfId="42" applyNumberFormat="1" applyFont="1" applyFill="1" applyBorder="1" applyAlignment="1">
      <alignment horizontal="right" wrapText="1"/>
    </xf>
    <xf numFmtId="166" fontId="31" fillId="39" borderId="15" xfId="42" applyNumberFormat="1" applyFont="1" applyFill="1" applyBorder="1" applyAlignment="1">
      <alignment horizontal="right" wrapText="1"/>
    </xf>
    <xf numFmtId="0" fontId="0" fillId="38" borderId="0" xfId="0" applyFill="1"/>
    <xf numFmtId="0" fontId="30" fillId="38" borderId="23" xfId="0" applyFont="1" applyFill="1" applyBorder="1" applyAlignment="1">
      <alignment horizontal="center" wrapText="1"/>
    </xf>
    <xf numFmtId="0" fontId="30" fillId="38" borderId="0" xfId="0" applyFont="1" applyFill="1" applyBorder="1" applyAlignment="1">
      <alignment wrapText="1"/>
    </xf>
    <xf numFmtId="0" fontId="30" fillId="38" borderId="13" xfId="0" applyFont="1" applyFill="1" applyBorder="1" applyAlignment="1">
      <alignment horizontal="center" wrapText="1"/>
    </xf>
    <xf numFmtId="166" fontId="30" fillId="38" borderId="13" xfId="42" applyNumberFormat="1" applyFont="1" applyFill="1" applyBorder="1" applyAlignment="1">
      <alignment horizontal="right" wrapText="1"/>
    </xf>
    <xf numFmtId="166" fontId="31" fillId="38" borderId="0" xfId="42" applyNumberFormat="1" applyFont="1" applyFill="1" applyBorder="1" applyAlignment="1">
      <alignment horizontal="right" wrapText="1"/>
    </xf>
    <xf numFmtId="166" fontId="31" fillId="38" borderId="14" xfId="42" applyNumberFormat="1" applyFont="1" applyFill="1" applyBorder="1" applyAlignment="1">
      <alignment horizontal="right" wrapText="1"/>
    </xf>
    <xf numFmtId="0" fontId="30" fillId="38" borderId="24" xfId="0" applyFont="1" applyFill="1" applyBorder="1" applyAlignment="1">
      <alignment horizontal="center" wrapText="1"/>
    </xf>
    <xf numFmtId="0" fontId="30" fillId="38" borderId="21" xfId="0" applyFont="1" applyFill="1" applyBorder="1" applyAlignment="1">
      <alignment wrapText="1"/>
    </xf>
    <xf numFmtId="0" fontId="30" fillId="38" borderId="15" xfId="0" applyFont="1" applyFill="1" applyBorder="1" applyAlignment="1">
      <alignment horizontal="center" wrapText="1"/>
    </xf>
    <xf numFmtId="166" fontId="30" fillId="38" borderId="15" xfId="42" applyNumberFormat="1" applyFont="1" applyFill="1" applyBorder="1" applyAlignment="1">
      <alignment horizontal="right" wrapText="1"/>
    </xf>
    <xf numFmtId="166" fontId="31" fillId="38" borderId="21" xfId="42" applyNumberFormat="1" applyFont="1" applyFill="1" applyBorder="1" applyAlignment="1">
      <alignment horizontal="right" wrapText="1"/>
    </xf>
    <xf numFmtId="166" fontId="31" fillId="38" borderId="16" xfId="42" applyNumberFormat="1" applyFont="1" applyFill="1" applyBorder="1" applyAlignment="1">
      <alignment horizontal="right" wrapText="1"/>
    </xf>
    <xf numFmtId="0" fontId="26" fillId="38" borderId="13" xfId="0" applyFont="1" applyFill="1" applyBorder="1" applyAlignment="1">
      <alignment horizontal="left" vertical="center" wrapText="1"/>
    </xf>
    <xf numFmtId="0" fontId="26" fillId="38" borderId="0" xfId="0" applyFont="1" applyFill="1" applyBorder="1" applyAlignment="1">
      <alignment horizontal="left" vertical="center" wrapText="1"/>
    </xf>
    <xf numFmtId="0" fontId="23" fillId="35" borderId="18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left" vertical="center" wrapText="1"/>
    </xf>
    <xf numFmtId="0" fontId="26" fillId="38" borderId="17" xfId="0" applyFont="1" applyFill="1" applyBorder="1" applyAlignment="1">
      <alignment horizontal="left" vertical="center" wrapText="1"/>
    </xf>
    <xf numFmtId="0" fontId="26" fillId="38" borderId="18" xfId="0" applyFont="1" applyFill="1" applyBorder="1" applyAlignment="1">
      <alignment horizontal="left" vertical="center" wrapText="1"/>
    </xf>
    <xf numFmtId="0" fontId="26" fillId="38" borderId="19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166" fontId="30" fillId="38" borderId="13" xfId="0" applyNumberFormat="1" applyFont="1" applyFill="1" applyBorder="1" applyAlignment="1">
      <alignment horizontal="right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6" fontId="30" fillId="0" borderId="13" xfId="0" applyNumberFormat="1" applyFont="1" applyFill="1" applyBorder="1" applyAlignment="1">
      <alignment horizontal="right" wrapText="1"/>
    </xf>
    <xf numFmtId="166" fontId="30" fillId="0" borderId="15" xfId="0" applyNumberFormat="1" applyFont="1" applyFill="1" applyBorder="1" applyAlignment="1">
      <alignment horizontal="right" wrapText="1"/>
    </xf>
    <xf numFmtId="166" fontId="30" fillId="37" borderId="0" xfId="42" applyNumberFormat="1" applyFont="1" applyFill="1" applyBorder="1" applyAlignment="1">
      <alignment horizontal="right" wrapText="1"/>
    </xf>
    <xf numFmtId="0" fontId="29" fillId="0" borderId="19" xfId="0" applyFont="1" applyBorder="1" applyAlignment="1">
      <alignment horizontal="center" vertical="center" wrapText="1"/>
    </xf>
    <xf numFmtId="166" fontId="31" fillId="36" borderId="12" xfId="42" applyNumberFormat="1" applyFont="1" applyFill="1" applyBorder="1" applyAlignment="1">
      <alignment horizontal="right" wrapText="1"/>
    </xf>
    <xf numFmtId="166" fontId="31" fillId="37" borderId="14" xfId="42" applyNumberFormat="1" applyFont="1" applyFill="1" applyBorder="1" applyAlignment="1">
      <alignment horizontal="right" wrapText="1"/>
    </xf>
    <xf numFmtId="166" fontId="31" fillId="36" borderId="14" xfId="42" applyNumberFormat="1" applyFont="1" applyFill="1" applyBorder="1" applyAlignment="1">
      <alignment horizontal="right" wrapText="1"/>
    </xf>
    <xf numFmtId="0" fontId="30" fillId="36" borderId="22" xfId="0" applyFont="1" applyFill="1" applyBorder="1" applyAlignment="1">
      <alignment wrapText="1"/>
    </xf>
    <xf numFmtId="0" fontId="23" fillId="37" borderId="23" xfId="0" applyFont="1" applyFill="1" applyBorder="1" applyAlignment="1">
      <alignment horizontal="left" vertical="center" wrapText="1"/>
    </xf>
    <xf numFmtId="0" fontId="30" fillId="37" borderId="23" xfId="0" applyFont="1" applyFill="1" applyBorder="1" applyAlignment="1">
      <alignment horizontal="left" wrapText="1"/>
    </xf>
    <xf numFmtId="0" fontId="30" fillId="36" borderId="23" xfId="0" applyFont="1" applyFill="1" applyBorder="1" applyAlignment="1">
      <alignment wrapText="1"/>
    </xf>
    <xf numFmtId="166" fontId="30" fillId="37" borderId="14" xfId="42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166" fontId="30" fillId="0" borderId="13" xfId="0" applyNumberFormat="1" applyFont="1" applyFill="1" applyBorder="1" applyAlignment="1">
      <alignment horizontal="right" vertical="center" wrapText="1"/>
    </xf>
    <xf numFmtId="166" fontId="31" fillId="0" borderId="14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center" wrapText="1"/>
    </xf>
    <xf numFmtId="165" fontId="25" fillId="0" borderId="14" xfId="0" applyNumberFormat="1" applyFont="1" applyFill="1" applyBorder="1" applyAlignment="1">
      <alignment horizontal="right"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 wrapText="1"/>
    </xf>
    <xf numFmtId="166" fontId="23" fillId="38" borderId="20" xfId="0" applyNumberFormat="1" applyFont="1" applyFill="1" applyBorder="1" applyAlignment="1">
      <alignment horizontal="right" vertical="center" wrapText="1"/>
    </xf>
    <xf numFmtId="166" fontId="30" fillId="38" borderId="0" xfId="0" applyNumberFormat="1" applyFont="1" applyFill="1" applyBorder="1" applyAlignment="1">
      <alignment horizontal="right" wrapText="1"/>
    </xf>
    <xf numFmtId="166" fontId="30" fillId="38" borderId="21" xfId="0" applyNumberFormat="1" applyFont="1" applyFill="1" applyBorder="1" applyAlignment="1">
      <alignment horizontal="right" wrapText="1"/>
    </xf>
    <xf numFmtId="166" fontId="30" fillId="38" borderId="11" xfId="42" applyNumberFormat="1" applyFont="1" applyFill="1" applyBorder="1" applyAlignment="1">
      <alignment horizontal="right" wrapText="1"/>
    </xf>
    <xf numFmtId="166" fontId="31" fillId="38" borderId="12" xfId="42" applyNumberFormat="1" applyFont="1" applyFill="1" applyBorder="1" applyAlignment="1">
      <alignment horizontal="right" wrapText="1"/>
    </xf>
    <xf numFmtId="166" fontId="31" fillId="38" borderId="0" xfId="0" applyNumberFormat="1" applyFont="1" applyFill="1" applyBorder="1" applyAlignment="1">
      <alignment horizontal="right" wrapText="1"/>
    </xf>
    <xf numFmtId="165" fontId="23" fillId="0" borderId="13" xfId="0" applyNumberFormat="1" applyFont="1" applyFill="1" applyBorder="1" applyAlignment="1" applyProtection="1">
      <alignment horizontal="right" wrapText="1"/>
      <protection locked="0"/>
    </xf>
    <xf numFmtId="166" fontId="30" fillId="38" borderId="0" xfId="42" applyNumberFormat="1" applyFont="1" applyFill="1" applyBorder="1" applyAlignment="1">
      <alignment horizontal="right" wrapText="1"/>
    </xf>
    <xf numFmtId="166" fontId="31" fillId="38" borderId="21" xfId="0" applyNumberFormat="1" applyFont="1" applyFill="1" applyBorder="1" applyAlignment="1">
      <alignment horizontal="right" wrapText="1"/>
    </xf>
    <xf numFmtId="165" fontId="23" fillId="0" borderId="15" xfId="0" applyNumberFormat="1" applyFont="1" applyFill="1" applyBorder="1" applyAlignment="1" applyProtection="1">
      <alignment horizontal="right" wrapText="1"/>
      <protection locked="0"/>
    </xf>
    <xf numFmtId="165" fontId="25" fillId="0" borderId="0" xfId="0" applyNumberFormat="1" applyFont="1" applyFill="1" applyBorder="1" applyAlignment="1">
      <alignment horizontal="right" wrapText="1"/>
    </xf>
    <xf numFmtId="165" fontId="25" fillId="0" borderId="0" xfId="0" applyNumberFormat="1" applyFont="1" applyFill="1" applyBorder="1" applyAlignment="1">
      <alignment horizontal="right" vertical="center" wrapText="1"/>
    </xf>
    <xf numFmtId="44" fontId="22" fillId="0" borderId="0" xfId="42" applyFont="1" applyFill="1" applyBorder="1" applyAlignment="1">
      <alignment vertical="center" wrapText="1"/>
    </xf>
    <xf numFmtId="166" fontId="31" fillId="38" borderId="20" xfId="0" applyNumberFormat="1" applyFont="1" applyFill="1" applyBorder="1" applyAlignment="1">
      <alignment horizontal="right" wrapText="1"/>
    </xf>
    <xf numFmtId="165" fontId="23" fillId="0" borderId="11" xfId="0" applyNumberFormat="1" applyFont="1" applyFill="1" applyBorder="1" applyAlignment="1" applyProtection="1">
      <alignment horizontal="right" wrapText="1"/>
      <protection locked="0"/>
    </xf>
    <xf numFmtId="165" fontId="24" fillId="0" borderId="12" xfId="0" applyNumberFormat="1" applyFont="1" applyFill="1" applyBorder="1" applyAlignment="1">
      <alignment horizontal="right" wrapText="1"/>
    </xf>
    <xf numFmtId="165" fontId="25" fillId="0" borderId="21" xfId="0" applyNumberFormat="1" applyFont="1" applyFill="1" applyBorder="1" applyAlignment="1">
      <alignment horizontal="right" wrapText="1"/>
    </xf>
    <xf numFmtId="165" fontId="23" fillId="0" borderId="11" xfId="0" applyNumberFormat="1" applyFont="1" applyFill="1" applyBorder="1" applyAlignment="1">
      <alignment horizontal="right" wrapText="1"/>
    </xf>
    <xf numFmtId="165" fontId="25" fillId="0" borderId="12" xfId="0" applyNumberFormat="1" applyFont="1" applyFill="1" applyBorder="1" applyAlignment="1">
      <alignment horizontal="right" wrapText="1"/>
    </xf>
    <xf numFmtId="0" fontId="21" fillId="35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1" fillId="34" borderId="17" xfId="0" applyNumberFormat="1" applyFont="1" applyFill="1" applyBorder="1" applyAlignment="1">
      <alignment horizontal="center" vertical="center" wrapText="1"/>
    </xf>
    <xf numFmtId="0" fontId="21" fillId="34" borderId="19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1" fontId="27" fillId="33" borderId="1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27" fillId="33" borderId="18" xfId="0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left" vertical="center" wrapText="1"/>
    </xf>
    <xf numFmtId="1" fontId="27" fillId="33" borderId="19" xfId="0" applyNumberFormat="1" applyFont="1" applyFill="1" applyBorder="1" applyAlignment="1">
      <alignment horizontal="center" vertical="center" wrapText="1"/>
    </xf>
    <xf numFmtId="1" fontId="27" fillId="39" borderId="17" xfId="0" applyNumberFormat="1" applyFont="1" applyFill="1" applyBorder="1" applyAlignment="1">
      <alignment horizontal="center" vertical="center" wrapText="1"/>
    </xf>
    <xf numFmtId="1" fontId="27" fillId="39" borderId="19" xfId="0" applyNumberFormat="1" applyFont="1" applyFill="1" applyBorder="1" applyAlignment="1">
      <alignment horizontal="center" vertical="center" wrapText="1"/>
    </xf>
    <xf numFmtId="0" fontId="27" fillId="39" borderId="17" xfId="0" applyFont="1" applyFill="1" applyBorder="1" applyAlignment="1">
      <alignment horizontal="left" vertical="center" wrapText="1"/>
    </xf>
    <xf numFmtId="0" fontId="0" fillId="39" borderId="18" xfId="0" applyFont="1" applyFill="1" applyBorder="1" applyAlignment="1">
      <alignment horizontal="left" vertical="center" wrapText="1"/>
    </xf>
    <xf numFmtId="0" fontId="33" fillId="39" borderId="17" xfId="0" applyFont="1" applyFill="1" applyBorder="1" applyAlignment="1">
      <alignment horizontal="center" vertical="center" wrapText="1"/>
    </xf>
    <xf numFmtId="0" fontId="33" fillId="39" borderId="19" xfId="0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6E6"/>
      <color rgb="FFCCCCFF"/>
      <color rgb="FFD6C4EE"/>
      <color rgb="FFFDF8EC"/>
      <color rgb="FF660066"/>
      <color rgb="FFFFF2EA"/>
      <color rgb="FFB8ECAC"/>
      <color rgb="FFFF7174"/>
      <color rgb="FF26BC1E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White Cuv&#233;es'!A1"/><Relationship Id="rId2" Type="http://schemas.openxmlformats.org/officeDocument/2006/relationships/hyperlink" Target="#'Red Cuv&#233;es'!A1"/><Relationship Id="rId1" Type="http://schemas.openxmlformats.org/officeDocument/2006/relationships/image" Target="../media/image1.emf"/><Relationship Id="rId5" Type="http://schemas.openxmlformats.org/officeDocument/2006/relationships/hyperlink" Target="#'Alcohol Cuv&#233;es'!A1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3266</xdr:rowOff>
    </xdr:from>
    <xdr:to>
      <xdr:col>20</xdr:col>
      <xdr:colOff>4264</xdr:colOff>
      <xdr:row>3</xdr:row>
      <xdr:rowOff>348343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9C38A03-4B58-BD4B-A739-689472183F26}"/>
            </a:ext>
          </a:extLst>
        </xdr:cNvPr>
        <xdr:cNvSpPr/>
      </xdr:nvSpPr>
      <xdr:spPr>
        <a:xfrm>
          <a:off x="15279370" y="368391"/>
          <a:ext cx="5537019" cy="1329327"/>
        </a:xfrm>
        <a:prstGeom prst="rect">
          <a:avLst/>
        </a:prstGeom>
        <a:solidFill>
          <a:srgbClr val="E5EE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203200</xdr:colOff>
      <xdr:row>0</xdr:row>
      <xdr:rowOff>1054100</xdr:rowOff>
    </xdr:from>
    <xdr:to>
      <xdr:col>2</xdr:col>
      <xdr:colOff>1841289</xdr:colOff>
      <xdr:row>1</xdr:row>
      <xdr:rowOff>389902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F84AAE-CF18-8641-92A1-FF66AB5BF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54100"/>
          <a:ext cx="2879514" cy="394891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31138</xdr:rowOff>
    </xdr:from>
    <xdr:to>
      <xdr:col>16</xdr:col>
      <xdr:colOff>0</xdr:colOff>
      <xdr:row>3</xdr:row>
      <xdr:rowOff>501801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78A694F-187E-0841-AA2A-9E0B3EF5EFA0}"/>
            </a:ext>
          </a:extLst>
        </xdr:cNvPr>
        <xdr:cNvSpPr txBox="1"/>
      </xdr:nvSpPr>
      <xdr:spPr>
        <a:xfrm>
          <a:off x="16281797" y="398247"/>
          <a:ext cx="2063750" cy="1443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For further information please contact:</a:t>
          </a:r>
        </a:p>
        <a:p>
          <a:r>
            <a:rPr lang="en-GB" sz="1100" b="1"/>
            <a:t>Amayès Aouli</a:t>
          </a:r>
        </a:p>
        <a:p>
          <a:r>
            <a:rPr lang="en-GB" sz="1100" i="1"/>
            <a:t>Head of Wine, Europe</a:t>
          </a:r>
        </a:p>
        <a:p>
          <a:r>
            <a:rPr lang="en-GB" sz="1100"/>
            <a:t>amayes.aouli@sothebys.com</a:t>
          </a:r>
        </a:p>
        <a:p>
          <a:r>
            <a:rPr lang="en-GB" sz="1100"/>
            <a:t>+33 6 78 22 31 90</a:t>
          </a:r>
        </a:p>
      </xdr:txBody>
    </xdr:sp>
    <xdr:clientData/>
  </xdr:twoCellAnchor>
  <xdr:twoCellAnchor>
    <xdr:from>
      <xdr:col>1</xdr:col>
      <xdr:colOff>0</xdr:colOff>
      <xdr:row>1</xdr:row>
      <xdr:rowOff>406400</xdr:rowOff>
    </xdr:from>
    <xdr:to>
      <xdr:col>2</xdr:col>
      <xdr:colOff>311150</xdr:colOff>
      <xdr:row>3</xdr:row>
      <xdr:rowOff>82550</xdr:rowOff>
    </xdr:to>
    <xdr:sp macro="[0]!TextBox4_Click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91CAC8-0CF3-244F-B3F9-E4FFD043DF11}"/>
            </a:ext>
          </a:extLst>
        </xdr:cNvPr>
        <xdr:cNvSpPr txBox="1"/>
      </xdr:nvSpPr>
      <xdr:spPr>
        <a:xfrm>
          <a:off x="190500" y="771525"/>
          <a:ext cx="1247775" cy="660400"/>
        </a:xfrm>
        <a:prstGeom prst="rect">
          <a:avLst/>
        </a:prstGeom>
        <a:solidFill>
          <a:srgbClr val="F9EEE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/>
            <a:t>Reds only</a:t>
          </a:r>
        </a:p>
      </xdr:txBody>
    </xdr:sp>
    <xdr:clientData/>
  </xdr:twoCellAnchor>
  <xdr:twoCellAnchor>
    <xdr:from>
      <xdr:col>2</xdr:col>
      <xdr:colOff>520700</xdr:colOff>
      <xdr:row>1</xdr:row>
      <xdr:rowOff>406400</xdr:rowOff>
    </xdr:from>
    <xdr:to>
      <xdr:col>2</xdr:col>
      <xdr:colOff>1866900</xdr:colOff>
      <xdr:row>3</xdr:row>
      <xdr:rowOff>82550</xdr:rowOff>
    </xdr:to>
    <xdr:sp macro="" textlink="">
      <xdr:nvSpPr>
        <xdr:cNvPr id="8" name="TextBox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4254AC-E8FA-A846-8522-82E67E03E73B}"/>
            </a:ext>
          </a:extLst>
        </xdr:cNvPr>
        <xdr:cNvSpPr txBox="1"/>
      </xdr:nvSpPr>
      <xdr:spPr>
        <a:xfrm>
          <a:off x="1647825" y="771525"/>
          <a:ext cx="1346200" cy="660400"/>
        </a:xfrm>
        <a:prstGeom prst="rect">
          <a:avLst/>
        </a:prstGeom>
        <a:solidFill>
          <a:srgbClr val="FFF8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/>
            <a:t>Whites only</a:t>
          </a:r>
        </a:p>
      </xdr:txBody>
    </xdr:sp>
    <xdr:clientData/>
  </xdr:twoCellAnchor>
  <xdr:twoCellAnchor editAs="oneCell">
    <xdr:from>
      <xdr:col>20</xdr:col>
      <xdr:colOff>142874</xdr:colOff>
      <xdr:row>6</xdr:row>
      <xdr:rowOff>174625</xdr:rowOff>
    </xdr:from>
    <xdr:to>
      <xdr:col>31</xdr:col>
      <xdr:colOff>296140</xdr:colOff>
      <xdr:row>47</xdr:row>
      <xdr:rowOff>222289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62B0E6A-FC33-4CF7-8F52-3E1B4379764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2667000"/>
          <a:ext cx="6611217" cy="990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2066925</xdr:colOff>
      <xdr:row>1</xdr:row>
      <xdr:rowOff>393700</xdr:rowOff>
    </xdr:from>
    <xdr:to>
      <xdr:col>2</xdr:col>
      <xdr:colOff>3409950</xdr:colOff>
      <xdr:row>3</xdr:row>
      <xdr:rowOff>85725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AD8EF3C-2F2F-44A7-B08A-00B0EF172AA7}"/>
            </a:ext>
          </a:extLst>
        </xdr:cNvPr>
        <xdr:cNvSpPr txBox="1"/>
      </xdr:nvSpPr>
      <xdr:spPr>
        <a:xfrm>
          <a:off x="3194050" y="758825"/>
          <a:ext cx="1343025" cy="676275"/>
        </a:xfrm>
        <a:prstGeom prst="rect">
          <a:avLst/>
        </a:prstGeom>
        <a:solidFill>
          <a:srgbClr val="D6C4EE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/>
            <a:t>Alcohol only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47478</xdr:colOff>
      <xdr:row>0</xdr:row>
      <xdr:rowOff>213645</xdr:rowOff>
    </xdr:from>
    <xdr:to>
      <xdr:col>2</xdr:col>
      <xdr:colOff>2741777</xdr:colOff>
      <xdr:row>1</xdr:row>
      <xdr:rowOff>370411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3F4E24-D722-0145-A35F-977BE119A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599" y="213645"/>
          <a:ext cx="2694299" cy="369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145484</xdr:colOff>
      <xdr:row>1</xdr:row>
      <xdr:rowOff>15435</xdr:rowOff>
    </xdr:from>
    <xdr:to>
      <xdr:col>1</xdr:col>
      <xdr:colOff>2847110</xdr:colOff>
      <xdr:row>1</xdr:row>
      <xdr:rowOff>384019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E7B79C-34D1-BC43-BF5E-BE3EFD06B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70" y="192328"/>
          <a:ext cx="2698451" cy="368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2B03-FD02-AE4A-897E-E864F948E6EE}">
  <dimension ref="B1:T64"/>
  <sheetViews>
    <sheetView showGridLines="0" tabSelected="1" zoomScale="55" zoomScaleNormal="55" workbookViewId="0">
      <selection activeCell="C3" sqref="C3"/>
    </sheetView>
  </sheetViews>
  <sheetFormatPr defaultColWidth="8.7265625" defaultRowHeight="14.5" x14ac:dyDescent="0.35"/>
  <cols>
    <col min="1" max="1" width="2.7265625" style="3" customWidth="1"/>
    <col min="2" max="2" width="13.453125" style="3" customWidth="1"/>
    <col min="3" max="3" width="89" style="3" customWidth="1"/>
    <col min="4" max="6" width="16.7265625" style="3" customWidth="1"/>
    <col min="7" max="7" width="17.54296875" style="3" customWidth="1"/>
    <col min="8" max="10" width="14" style="3" customWidth="1"/>
    <col min="11" max="20" width="14.7265625" style="3" customWidth="1"/>
    <col min="21" max="31" width="8.7265625" style="3"/>
    <col min="32" max="32" width="8.7265625" style="3" customWidth="1"/>
    <col min="33" max="16384" width="8.7265625" style="3"/>
  </cols>
  <sheetData>
    <row r="1" spans="2:20" ht="29.25" customHeight="1" x14ac:dyDescent="0.35">
      <c r="O1" s="181"/>
      <c r="P1" s="181"/>
      <c r="Q1" s="68"/>
      <c r="R1" s="68"/>
    </row>
    <row r="2" spans="2:20" ht="48.75" customHeight="1" x14ac:dyDescent="0.6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12" customFormat="1" ht="28.5" customHeight="1" x14ac:dyDescent="0.35"/>
    <row r="4" spans="2:20" s="12" customFormat="1" ht="51" customHeight="1" thickBot="1" x14ac:dyDescent="0.4">
      <c r="C4" s="14"/>
      <c r="D4" s="11"/>
      <c r="E4" s="11"/>
      <c r="F4" s="11"/>
      <c r="G4" s="11"/>
      <c r="H4" s="11"/>
      <c r="I4" s="70"/>
      <c r="J4" s="70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s="12" customFormat="1" ht="19" thickBot="1" x14ac:dyDescent="0.4">
      <c r="B5" s="177" t="s">
        <v>9</v>
      </c>
      <c r="C5" s="178"/>
      <c r="D5" s="125"/>
      <c r="E5" s="175">
        <v>2022</v>
      </c>
      <c r="F5" s="183"/>
      <c r="G5" s="175">
        <v>2021</v>
      </c>
      <c r="H5" s="183"/>
      <c r="I5" s="182">
        <v>2020</v>
      </c>
      <c r="J5" s="183"/>
      <c r="K5" s="175">
        <v>2019</v>
      </c>
      <c r="L5" s="176"/>
      <c r="M5" s="175">
        <v>2018</v>
      </c>
      <c r="N5" s="176"/>
      <c r="O5" s="175">
        <v>2017</v>
      </c>
      <c r="P5" s="176"/>
      <c r="Q5" s="175">
        <v>2016</v>
      </c>
      <c r="R5" s="176"/>
      <c r="S5" s="175">
        <v>2015</v>
      </c>
      <c r="T5" s="176"/>
    </row>
    <row r="6" spans="2:20" s="12" customFormat="1" ht="19" thickBot="1" x14ac:dyDescent="0.4">
      <c r="B6" s="73"/>
      <c r="C6" s="13"/>
      <c r="D6" s="11"/>
      <c r="E6" s="11"/>
      <c r="F6" s="11"/>
      <c r="G6" s="184"/>
      <c r="H6" s="185"/>
      <c r="I6" s="13"/>
      <c r="J6" s="36"/>
      <c r="K6" s="35"/>
      <c r="L6" s="36"/>
      <c r="M6" s="35"/>
      <c r="N6" s="36"/>
      <c r="O6" s="35"/>
      <c r="P6" s="36"/>
      <c r="Q6" s="35"/>
      <c r="R6" s="36"/>
      <c r="S6" s="35"/>
      <c r="T6" s="36"/>
    </row>
    <row r="7" spans="2:20" s="9" customFormat="1" ht="19" thickBot="1" x14ac:dyDescent="0.4">
      <c r="B7" s="37" t="s">
        <v>6</v>
      </c>
      <c r="C7" s="30" t="s">
        <v>5</v>
      </c>
      <c r="D7" s="29" t="s">
        <v>29</v>
      </c>
      <c r="E7" s="148" t="s">
        <v>1</v>
      </c>
      <c r="F7" s="139" t="s">
        <v>3</v>
      </c>
      <c r="G7" s="126" t="s">
        <v>1</v>
      </c>
      <c r="H7" s="127" t="s">
        <v>3</v>
      </c>
      <c r="I7" s="31" t="s">
        <v>1</v>
      </c>
      <c r="J7" s="34" t="s">
        <v>3</v>
      </c>
      <c r="K7" s="31" t="s">
        <v>1</v>
      </c>
      <c r="L7" s="34" t="s">
        <v>3</v>
      </c>
      <c r="M7" s="31" t="s">
        <v>1</v>
      </c>
      <c r="N7" s="34" t="s">
        <v>3</v>
      </c>
      <c r="O7" s="31" t="s">
        <v>1</v>
      </c>
      <c r="P7" s="33" t="s">
        <v>3</v>
      </c>
      <c r="Q7" s="31" t="s">
        <v>1</v>
      </c>
      <c r="R7" s="34" t="s">
        <v>3</v>
      </c>
      <c r="S7" s="32" t="s">
        <v>1</v>
      </c>
      <c r="T7" s="34" t="s">
        <v>3</v>
      </c>
    </row>
    <row r="8" spans="2:20" ht="18.5" x14ac:dyDescent="0.45">
      <c r="B8" s="69" t="s">
        <v>7</v>
      </c>
      <c r="C8" s="91" t="s">
        <v>64</v>
      </c>
      <c r="D8" s="143" t="s">
        <v>2</v>
      </c>
      <c r="E8" s="63">
        <v>15737</v>
      </c>
      <c r="F8" s="89">
        <f>E8/288</f>
        <v>54.642361111111114</v>
      </c>
      <c r="G8" s="87">
        <f>(14040+13500)/2</f>
        <v>13770</v>
      </c>
      <c r="H8" s="140">
        <f>G8/288</f>
        <v>47.8125</v>
      </c>
      <c r="I8" s="90">
        <v>9309</v>
      </c>
      <c r="J8" s="90">
        <v>32.322916666666664</v>
      </c>
      <c r="K8" s="87">
        <v>11384.800000000001</v>
      </c>
      <c r="L8" s="88">
        <v>39.530555555555559</v>
      </c>
      <c r="M8" s="90">
        <v>7668.6900000000005</v>
      </c>
      <c r="N8" s="90">
        <v>26.627395833333335</v>
      </c>
      <c r="O8" s="87">
        <v>6955</v>
      </c>
      <c r="P8" s="88">
        <v>24.149305555555557</v>
      </c>
      <c r="Q8" s="90">
        <v>10165</v>
      </c>
      <c r="R8" s="90">
        <v>35.295138888888886</v>
      </c>
      <c r="S8" s="87">
        <v>11081.99</v>
      </c>
      <c r="T8" s="88">
        <v>38.479131944444447</v>
      </c>
    </row>
    <row r="9" spans="2:20" ht="18.5" x14ac:dyDescent="0.45">
      <c r="B9" s="38" t="s">
        <v>8</v>
      </c>
      <c r="C9" s="92" t="s">
        <v>65</v>
      </c>
      <c r="D9" s="144" t="s">
        <v>0</v>
      </c>
      <c r="E9" s="62">
        <v>324000</v>
      </c>
      <c r="F9" s="85">
        <f>E9/288</f>
        <v>1125</v>
      </c>
      <c r="G9" s="71">
        <v>217800</v>
      </c>
      <c r="H9" s="141">
        <f>G9/288</f>
        <v>756.25</v>
      </c>
      <c r="I9" s="138">
        <v>143380</v>
      </c>
      <c r="J9" s="138">
        <v>497.84722222222223</v>
      </c>
      <c r="K9" s="62">
        <v>139100</v>
      </c>
      <c r="L9" s="147">
        <v>482.98611111111109</v>
      </c>
      <c r="M9" s="138">
        <v>141240</v>
      </c>
      <c r="N9" s="138">
        <v>490.41666666666669</v>
      </c>
      <c r="O9" s="62">
        <v>115203.69</v>
      </c>
      <c r="P9" s="147">
        <v>400.0128125</v>
      </c>
      <c r="Q9" s="138">
        <v>83460</v>
      </c>
      <c r="R9" s="138">
        <v>289.79166666666669</v>
      </c>
      <c r="S9" s="62">
        <v>87026.310000000012</v>
      </c>
      <c r="T9" s="147">
        <v>302.17468750000006</v>
      </c>
    </row>
    <row r="10" spans="2:20" ht="18.5" x14ac:dyDescent="0.45">
      <c r="B10" s="38" t="s">
        <v>8</v>
      </c>
      <c r="C10" s="92" t="s">
        <v>92</v>
      </c>
      <c r="D10" s="145" t="s">
        <v>2</v>
      </c>
      <c r="E10" s="62">
        <v>47088</v>
      </c>
      <c r="F10" s="85">
        <f>E10/288</f>
        <v>163.5</v>
      </c>
      <c r="G10" s="62">
        <v>0</v>
      </c>
      <c r="H10" s="147">
        <v>0</v>
      </c>
      <c r="I10" s="138">
        <v>0</v>
      </c>
      <c r="J10" s="138">
        <v>0</v>
      </c>
      <c r="K10" s="62">
        <v>0</v>
      </c>
      <c r="L10" s="147">
        <v>0</v>
      </c>
      <c r="M10" s="138">
        <v>0</v>
      </c>
      <c r="N10" s="138">
        <v>0</v>
      </c>
      <c r="O10" s="62">
        <v>0</v>
      </c>
      <c r="P10" s="147">
        <v>0</v>
      </c>
      <c r="Q10" s="138">
        <v>0</v>
      </c>
      <c r="R10" s="138">
        <v>0</v>
      </c>
      <c r="S10" s="62">
        <v>0</v>
      </c>
      <c r="T10" s="147">
        <v>0</v>
      </c>
    </row>
    <row r="11" spans="2:20" ht="18.5" x14ac:dyDescent="0.45">
      <c r="B11" s="38" t="s">
        <v>8</v>
      </c>
      <c r="C11" s="92" t="s">
        <v>30</v>
      </c>
      <c r="D11" s="145" t="s">
        <v>2</v>
      </c>
      <c r="E11" s="62">
        <v>26228</v>
      </c>
      <c r="F11" s="85">
        <f>E11/288</f>
        <v>91.069444444444443</v>
      </c>
      <c r="G11" s="62">
        <f>(28080+23760)/2</f>
        <v>25920</v>
      </c>
      <c r="H11" s="141">
        <f>G11/288</f>
        <v>90</v>
      </c>
      <c r="I11" s="138">
        <v>14291.990000000002</v>
      </c>
      <c r="J11" s="138">
        <v>49.624965277777783</v>
      </c>
      <c r="K11" s="62">
        <v>14881.560000000001</v>
      </c>
      <c r="L11" s="147">
        <v>51.67208333333334</v>
      </c>
      <c r="M11" s="138">
        <v>10928.980000000001</v>
      </c>
      <c r="N11" s="138">
        <v>37.947847222222229</v>
      </c>
      <c r="O11" s="62">
        <v>9744.49</v>
      </c>
      <c r="P11" s="147">
        <v>33.835034722222218</v>
      </c>
      <c r="Q11" s="138">
        <v>8626.34</v>
      </c>
      <c r="R11" s="138">
        <v>29.952569444444446</v>
      </c>
      <c r="S11" s="62">
        <v>15871.310000000001</v>
      </c>
      <c r="T11" s="147">
        <v>55.108715277777783</v>
      </c>
    </row>
    <row r="12" spans="2:20" ht="18.5" x14ac:dyDescent="0.45">
      <c r="B12" s="39" t="s">
        <v>7</v>
      </c>
      <c r="C12" s="93" t="s">
        <v>31</v>
      </c>
      <c r="D12" s="146" t="s">
        <v>2</v>
      </c>
      <c r="E12" s="63">
        <v>22929</v>
      </c>
      <c r="F12" s="84">
        <f>E12/288</f>
        <v>79.614583333333329</v>
      </c>
      <c r="G12" s="63">
        <f>((21600*4)+(20520*2))/6</f>
        <v>21240</v>
      </c>
      <c r="H12" s="142">
        <f>G12/288</f>
        <v>73.75</v>
      </c>
      <c r="I12" s="86">
        <v>13214.5</v>
      </c>
      <c r="J12" s="86">
        <v>45.883680555555557</v>
      </c>
      <c r="K12" s="63">
        <v>13708.84</v>
      </c>
      <c r="L12" s="72">
        <v>47.600138888888893</v>
      </c>
      <c r="M12" s="86">
        <v>11349.49</v>
      </c>
      <c r="N12" s="86">
        <v>39.40795138888889</v>
      </c>
      <c r="O12" s="63">
        <v>8980.51</v>
      </c>
      <c r="P12" s="72">
        <v>31.182326388888889</v>
      </c>
      <c r="Q12" s="86">
        <v>11844.900000000001</v>
      </c>
      <c r="R12" s="86">
        <v>41.128125000000004</v>
      </c>
      <c r="S12" s="63">
        <v>12773.66</v>
      </c>
      <c r="T12" s="72">
        <v>44.352986111111107</v>
      </c>
    </row>
    <row r="13" spans="2:20" ht="18.5" x14ac:dyDescent="0.45">
      <c r="B13" s="39" t="s">
        <v>7</v>
      </c>
      <c r="C13" s="93" t="s">
        <v>66</v>
      </c>
      <c r="D13" s="146" t="s">
        <v>2</v>
      </c>
      <c r="E13" s="63">
        <v>16470</v>
      </c>
      <c r="F13" s="84">
        <f>E13/288</f>
        <v>57.1875</v>
      </c>
      <c r="G13" s="63">
        <v>17280</v>
      </c>
      <c r="H13" s="142">
        <f>G13/288</f>
        <v>60</v>
      </c>
      <c r="I13" s="86">
        <v>12292.16</v>
      </c>
      <c r="J13" s="86">
        <v>42.681111111111107</v>
      </c>
      <c r="K13" s="63">
        <v>12762.960000000001</v>
      </c>
      <c r="L13" s="72">
        <v>44.315833333333337</v>
      </c>
      <c r="M13" s="86">
        <v>8862.8100000000013</v>
      </c>
      <c r="N13" s="86">
        <v>30.773645833333337</v>
      </c>
      <c r="O13" s="63">
        <v>7511.4000000000005</v>
      </c>
      <c r="P13" s="72">
        <v>26.081250000000001</v>
      </c>
      <c r="Q13" s="86">
        <v>5440.9500000000007</v>
      </c>
      <c r="R13" s="86">
        <v>18.892187500000002</v>
      </c>
      <c r="S13" s="63">
        <v>11159.03</v>
      </c>
      <c r="T13" s="72">
        <v>38.746631944444445</v>
      </c>
    </row>
    <row r="14" spans="2:20" ht="18.5" x14ac:dyDescent="0.45">
      <c r="B14" s="39" t="s">
        <v>7</v>
      </c>
      <c r="C14" s="93" t="s">
        <v>32</v>
      </c>
      <c r="D14" s="146" t="s">
        <v>2</v>
      </c>
      <c r="E14" s="63">
        <v>17778</v>
      </c>
      <c r="F14" s="84">
        <f>E14/288</f>
        <v>61.729166666666664</v>
      </c>
      <c r="G14" s="63">
        <f>137160/8</f>
        <v>17145</v>
      </c>
      <c r="H14" s="142">
        <f>G14/288</f>
        <v>59.53125</v>
      </c>
      <c r="I14" s="86">
        <v>11556</v>
      </c>
      <c r="J14" s="86">
        <v>40.125</v>
      </c>
      <c r="K14" s="63">
        <v>11575.26</v>
      </c>
      <c r="L14" s="72">
        <v>40.191875000000003</v>
      </c>
      <c r="M14" s="86">
        <v>9509.09</v>
      </c>
      <c r="N14" s="86">
        <v>33.017673611111114</v>
      </c>
      <c r="O14" s="63">
        <v>7918.0000000000009</v>
      </c>
      <c r="P14" s="72">
        <v>27.493055555555557</v>
      </c>
      <c r="Q14" s="86">
        <v>9126.0300000000007</v>
      </c>
      <c r="R14" s="86">
        <v>31.68760416666667</v>
      </c>
      <c r="S14" s="63">
        <v>12067.460000000001</v>
      </c>
      <c r="T14" s="72">
        <v>41.90090277777778</v>
      </c>
    </row>
    <row r="15" spans="2:20" ht="18.5" x14ac:dyDescent="0.45">
      <c r="B15" s="39" t="s">
        <v>7</v>
      </c>
      <c r="C15" s="93" t="s">
        <v>33</v>
      </c>
      <c r="D15" s="146" t="s">
        <v>2</v>
      </c>
      <c r="E15" s="63">
        <v>22116</v>
      </c>
      <c r="F15" s="84">
        <f>E15/288</f>
        <v>76.791666666666671</v>
      </c>
      <c r="G15" s="63">
        <f>163080/9</f>
        <v>18120</v>
      </c>
      <c r="H15" s="142">
        <f>G15/288</f>
        <v>62.916666666666664</v>
      </c>
      <c r="I15" s="86">
        <v>13167.42</v>
      </c>
      <c r="J15" s="86">
        <v>45.720208333333332</v>
      </c>
      <c r="K15" s="63">
        <v>13970.990000000002</v>
      </c>
      <c r="L15" s="72">
        <v>48.510381944444447</v>
      </c>
      <c r="M15" s="86">
        <v>10722.470000000001</v>
      </c>
      <c r="N15" s="86">
        <v>37.230798611111112</v>
      </c>
      <c r="O15" s="63">
        <v>11235</v>
      </c>
      <c r="P15" s="72">
        <v>39.010416666666664</v>
      </c>
      <c r="Q15" s="86">
        <v>8276.4500000000007</v>
      </c>
      <c r="R15" s="86">
        <v>28.737673611111113</v>
      </c>
      <c r="S15" s="63">
        <v>12084.58</v>
      </c>
      <c r="T15" s="72">
        <v>41.960347222222225</v>
      </c>
    </row>
    <row r="16" spans="2:20" ht="18.5" x14ac:dyDescent="0.45">
      <c r="B16" s="39" t="s">
        <v>7</v>
      </c>
      <c r="C16" s="93" t="s">
        <v>34</v>
      </c>
      <c r="D16" s="146" t="s">
        <v>2</v>
      </c>
      <c r="E16" s="63">
        <v>19008</v>
      </c>
      <c r="F16" s="84">
        <f>E16/288</f>
        <v>66</v>
      </c>
      <c r="G16" s="63">
        <f>298080/16</f>
        <v>18630</v>
      </c>
      <c r="H16" s="142">
        <f>G16/288</f>
        <v>64.6875</v>
      </c>
      <c r="I16" s="86">
        <v>10355.460000000001</v>
      </c>
      <c r="J16" s="86">
        <v>35.956458333333337</v>
      </c>
      <c r="K16" s="63">
        <v>12042.85</v>
      </c>
      <c r="L16" s="72">
        <v>41.815451388888889</v>
      </c>
      <c r="M16" s="86">
        <v>9730.58</v>
      </c>
      <c r="N16" s="86">
        <v>33.786736111111111</v>
      </c>
      <c r="O16" s="63">
        <v>9831.16</v>
      </c>
      <c r="P16" s="72">
        <v>34.135972222222222</v>
      </c>
      <c r="Q16" s="86">
        <v>10508.470000000001</v>
      </c>
      <c r="R16" s="86">
        <v>36.487743055555562</v>
      </c>
      <c r="S16" s="63">
        <v>11291.710000000001</v>
      </c>
      <c r="T16" s="72">
        <v>39.207326388888895</v>
      </c>
    </row>
    <row r="17" spans="2:20" ht="18.5" x14ac:dyDescent="0.45">
      <c r="B17" s="39" t="s">
        <v>7</v>
      </c>
      <c r="C17" s="93" t="s">
        <v>35</v>
      </c>
      <c r="D17" s="146" t="s">
        <v>2</v>
      </c>
      <c r="E17" s="63">
        <v>21672</v>
      </c>
      <c r="F17" s="84">
        <f>E17/288</f>
        <v>75.25</v>
      </c>
      <c r="G17" s="63">
        <f>297000/15</f>
        <v>19800</v>
      </c>
      <c r="H17" s="142">
        <f>G17/288</f>
        <v>68.75</v>
      </c>
      <c r="I17" s="86">
        <v>9309</v>
      </c>
      <c r="J17" s="86">
        <v>32.322916666666664</v>
      </c>
      <c r="K17" s="63">
        <v>13668.18</v>
      </c>
      <c r="L17" s="72">
        <v>47.458958333333335</v>
      </c>
      <c r="M17" s="86">
        <v>12305</v>
      </c>
      <c r="N17" s="86">
        <v>42.725694444444443</v>
      </c>
      <c r="O17" s="63">
        <v>10132.900000000001</v>
      </c>
      <c r="P17" s="72">
        <v>35.183680555555561</v>
      </c>
      <c r="Q17" s="86">
        <v>10196.030000000001</v>
      </c>
      <c r="R17" s="86">
        <v>35.402881944444445</v>
      </c>
      <c r="S17" s="63">
        <v>12367.060000000001</v>
      </c>
      <c r="T17" s="72">
        <v>42.941180555555562</v>
      </c>
    </row>
    <row r="18" spans="2:20" ht="18.5" x14ac:dyDescent="0.45">
      <c r="B18" s="39" t="s">
        <v>7</v>
      </c>
      <c r="C18" s="93" t="s">
        <v>36</v>
      </c>
      <c r="D18" s="146" t="s">
        <v>2</v>
      </c>
      <c r="E18" s="63">
        <v>17352</v>
      </c>
      <c r="F18" s="84">
        <f>E18/288</f>
        <v>60.25</v>
      </c>
      <c r="G18" s="63">
        <f>86400/5</f>
        <v>17280</v>
      </c>
      <c r="H18" s="142">
        <f>G18/288</f>
        <v>60</v>
      </c>
      <c r="I18" s="86">
        <v>11149.400000000001</v>
      </c>
      <c r="J18" s="86">
        <v>38.713194444444447</v>
      </c>
      <c r="K18" s="63">
        <v>10878.69</v>
      </c>
      <c r="L18" s="72">
        <v>37.773229166666667</v>
      </c>
      <c r="M18" s="86">
        <v>7788.5300000000007</v>
      </c>
      <c r="N18" s="86">
        <v>27.043506944444445</v>
      </c>
      <c r="O18" s="63">
        <v>8317.11</v>
      </c>
      <c r="P18" s="72">
        <v>28.87885416666667</v>
      </c>
      <c r="Q18" s="86">
        <v>5861.46</v>
      </c>
      <c r="R18" s="86">
        <v>20.352291666666666</v>
      </c>
      <c r="S18" s="63">
        <v>10307.310000000001</v>
      </c>
      <c r="T18" s="72">
        <v>35.78927083333334</v>
      </c>
    </row>
    <row r="19" spans="2:20" ht="18.5" x14ac:dyDescent="0.45">
      <c r="B19" s="39" t="s">
        <v>7</v>
      </c>
      <c r="C19" s="93" t="s">
        <v>37</v>
      </c>
      <c r="D19" s="146" t="s">
        <v>2</v>
      </c>
      <c r="E19" s="63">
        <v>21010</v>
      </c>
      <c r="F19" s="84">
        <f>E19/288</f>
        <v>72.951388888888886</v>
      </c>
      <c r="G19" s="63">
        <f>213840/13</f>
        <v>16449.23076923077</v>
      </c>
      <c r="H19" s="142">
        <f>G19/288</f>
        <v>57.115384615384613</v>
      </c>
      <c r="I19" s="86">
        <v>11894.12</v>
      </c>
      <c r="J19" s="86">
        <v>41.299027777777781</v>
      </c>
      <c r="K19" s="63">
        <v>11484.310000000001</v>
      </c>
      <c r="L19" s="72">
        <v>39.87607638888889</v>
      </c>
      <c r="M19" s="86">
        <v>9323.9800000000014</v>
      </c>
      <c r="N19" s="86">
        <v>32.374930555555558</v>
      </c>
      <c r="O19" s="63">
        <v>11444.720000000001</v>
      </c>
      <c r="P19" s="72">
        <v>39.738611111111112</v>
      </c>
      <c r="Q19" s="86">
        <v>8113.81</v>
      </c>
      <c r="R19" s="86">
        <v>28.17295138888889</v>
      </c>
      <c r="S19" s="63">
        <v>11971.16</v>
      </c>
      <c r="T19" s="72">
        <v>41.566527777777779</v>
      </c>
    </row>
    <row r="20" spans="2:20" ht="18.5" x14ac:dyDescent="0.45">
      <c r="B20" s="39" t="s">
        <v>7</v>
      </c>
      <c r="C20" s="93" t="s">
        <v>38</v>
      </c>
      <c r="D20" s="146" t="s">
        <v>2</v>
      </c>
      <c r="E20" s="63">
        <v>23400</v>
      </c>
      <c r="F20" s="84">
        <f>E20/288</f>
        <v>81.25</v>
      </c>
      <c r="G20" s="63">
        <f>359640/15</f>
        <v>23976</v>
      </c>
      <c r="H20" s="142">
        <f>G20/288</f>
        <v>83.25</v>
      </c>
      <c r="I20" s="86">
        <v>14766</v>
      </c>
      <c r="J20" s="86">
        <v>51.270833333333336</v>
      </c>
      <c r="K20" s="63">
        <v>15358.78</v>
      </c>
      <c r="L20" s="72">
        <v>53.329097222222224</v>
      </c>
      <c r="M20" s="86">
        <v>12226.890000000001</v>
      </c>
      <c r="N20" s="86">
        <v>42.454479166666673</v>
      </c>
      <c r="O20" s="63">
        <v>9323.9800000000014</v>
      </c>
      <c r="P20" s="72">
        <v>32.374930555555558</v>
      </c>
      <c r="Q20" s="86">
        <v>9583.99</v>
      </c>
      <c r="R20" s="86">
        <v>33.277743055555554</v>
      </c>
      <c r="S20" s="63">
        <v>13118.2</v>
      </c>
      <c r="T20" s="72">
        <v>45.549305555555556</v>
      </c>
    </row>
    <row r="21" spans="2:20" ht="18.5" x14ac:dyDescent="0.45">
      <c r="B21" s="39" t="s">
        <v>7</v>
      </c>
      <c r="C21" s="93" t="s">
        <v>39</v>
      </c>
      <c r="D21" s="146" t="s">
        <v>2</v>
      </c>
      <c r="E21" s="63">
        <v>18688</v>
      </c>
      <c r="F21" s="84">
        <f>E21/288</f>
        <v>64.888888888888886</v>
      </c>
      <c r="G21" s="63">
        <f>206280/11</f>
        <v>18752.727272727272</v>
      </c>
      <c r="H21" s="142">
        <f>G21/288</f>
        <v>65.11363636363636</v>
      </c>
      <c r="I21" s="86">
        <v>11641.6</v>
      </c>
      <c r="J21" s="86">
        <v>40.422222222222224</v>
      </c>
      <c r="K21" s="63">
        <v>12305</v>
      </c>
      <c r="L21" s="72">
        <v>42.725694444444443</v>
      </c>
      <c r="M21" s="86">
        <v>9664.24</v>
      </c>
      <c r="N21" s="86">
        <v>33.55638888888889</v>
      </c>
      <c r="O21" s="63">
        <v>9458.8000000000011</v>
      </c>
      <c r="P21" s="72">
        <v>32.843055555555559</v>
      </c>
      <c r="Q21" s="86">
        <v>7490</v>
      </c>
      <c r="R21" s="86">
        <v>26.006944444444443</v>
      </c>
      <c r="S21" s="63">
        <v>11903.75</v>
      </c>
      <c r="T21" s="72">
        <v>41.332465277777779</v>
      </c>
    </row>
    <row r="22" spans="2:20" ht="18.5" x14ac:dyDescent="0.45">
      <c r="B22" s="38" t="s">
        <v>8</v>
      </c>
      <c r="C22" s="92" t="s">
        <v>67</v>
      </c>
      <c r="D22" s="145" t="s">
        <v>2</v>
      </c>
      <c r="E22" s="62">
        <v>24300</v>
      </c>
      <c r="F22" s="85">
        <f>E22/288</f>
        <v>84.375</v>
      </c>
      <c r="G22" s="62">
        <v>32400</v>
      </c>
      <c r="H22" s="141">
        <f>G22/288</f>
        <v>112.5</v>
      </c>
      <c r="I22" s="138">
        <v>11770</v>
      </c>
      <c r="J22" s="138">
        <v>40.868055555555557</v>
      </c>
      <c r="K22" s="62">
        <v>15996.500000000002</v>
      </c>
      <c r="L22" s="147">
        <v>55.543402777777786</v>
      </c>
      <c r="M22" s="138">
        <v>15515</v>
      </c>
      <c r="N22" s="138">
        <v>53.871527777777779</v>
      </c>
      <c r="O22" s="62">
        <v>9095</v>
      </c>
      <c r="P22" s="147">
        <v>31.579861111111111</v>
      </c>
      <c r="Q22" s="138">
        <v>9273.69</v>
      </c>
      <c r="R22" s="138">
        <v>32.200312500000003</v>
      </c>
      <c r="S22" s="62">
        <v>12037.5</v>
      </c>
      <c r="T22" s="147">
        <v>41.796875</v>
      </c>
    </row>
    <row r="23" spans="2:20" ht="18.5" x14ac:dyDescent="0.45">
      <c r="B23" s="39" t="s">
        <v>7</v>
      </c>
      <c r="C23" s="93" t="s">
        <v>68</v>
      </c>
      <c r="D23" s="146" t="s">
        <v>0</v>
      </c>
      <c r="E23" s="63">
        <v>202500</v>
      </c>
      <c r="F23" s="84">
        <f>E23/288</f>
        <v>703.125</v>
      </c>
      <c r="G23" s="63">
        <f>459000/3</f>
        <v>153000</v>
      </c>
      <c r="H23" s="142">
        <f>G23/288</f>
        <v>531.25</v>
      </c>
      <c r="I23" s="86">
        <v>139635</v>
      </c>
      <c r="J23" s="86">
        <v>484.84375</v>
      </c>
      <c r="K23" s="63">
        <v>135087.5</v>
      </c>
      <c r="L23" s="72">
        <v>469.05381944444446</v>
      </c>
      <c r="M23" s="86">
        <v>117700</v>
      </c>
      <c r="N23" s="86">
        <v>408.68055555555554</v>
      </c>
      <c r="O23" s="63">
        <v>82925</v>
      </c>
      <c r="P23" s="72">
        <v>287.93402777777777</v>
      </c>
      <c r="Q23" s="86">
        <v>67945</v>
      </c>
      <c r="R23" s="86">
        <v>235.92013888888889</v>
      </c>
      <c r="S23" s="63">
        <v>114133.69</v>
      </c>
      <c r="T23" s="72">
        <v>396.29753472222222</v>
      </c>
    </row>
    <row r="24" spans="2:20" ht="18.5" x14ac:dyDescent="0.45">
      <c r="B24" s="39" t="s">
        <v>7</v>
      </c>
      <c r="C24" s="93" t="s">
        <v>40</v>
      </c>
      <c r="D24" s="146" t="s">
        <v>0</v>
      </c>
      <c r="E24" s="63">
        <v>194400</v>
      </c>
      <c r="F24" s="84">
        <f>E24/288</f>
        <v>675</v>
      </c>
      <c r="G24" s="63">
        <f>266760/2</f>
        <v>133380</v>
      </c>
      <c r="H24" s="142">
        <f>G24/288</f>
        <v>463.125</v>
      </c>
      <c r="I24" s="86">
        <v>102292</v>
      </c>
      <c r="J24" s="86">
        <v>355.18055555555554</v>
      </c>
      <c r="K24" s="63">
        <v>128400.00000000001</v>
      </c>
      <c r="L24" s="72">
        <v>445.83333333333337</v>
      </c>
      <c r="M24" s="86">
        <v>107891.31000000001</v>
      </c>
      <c r="N24" s="86">
        <v>374.62260416666669</v>
      </c>
      <c r="O24" s="63">
        <v>77396.31</v>
      </c>
      <c r="P24" s="72">
        <v>268.7371875</v>
      </c>
      <c r="Q24" s="86">
        <v>60633.69</v>
      </c>
      <c r="R24" s="86">
        <v>210.53364583333334</v>
      </c>
      <c r="S24" s="63">
        <v>107000</v>
      </c>
      <c r="T24" s="72">
        <v>371.52777777777777</v>
      </c>
    </row>
    <row r="25" spans="2:20" ht="18.5" x14ac:dyDescent="0.45">
      <c r="B25" s="38" t="s">
        <v>8</v>
      </c>
      <c r="C25" s="92" t="s">
        <v>41</v>
      </c>
      <c r="D25" s="145" t="s">
        <v>0</v>
      </c>
      <c r="E25" s="62">
        <v>60171</v>
      </c>
      <c r="F25" s="85">
        <f>E25/288</f>
        <v>208.92708333333334</v>
      </c>
      <c r="G25" s="62">
        <f>478440/9</f>
        <v>53160</v>
      </c>
      <c r="H25" s="141">
        <f>G25/288</f>
        <v>184.58333333333334</v>
      </c>
      <c r="I25" s="138">
        <v>34240</v>
      </c>
      <c r="J25" s="138">
        <v>118.88888888888889</v>
      </c>
      <c r="K25" s="62">
        <v>27891.690000000002</v>
      </c>
      <c r="L25" s="147">
        <v>96.846145833333338</v>
      </c>
      <c r="M25" s="138">
        <v>20596.43</v>
      </c>
      <c r="N25" s="138">
        <v>71.515381944444442</v>
      </c>
      <c r="O25" s="62">
        <v>24966.31</v>
      </c>
      <c r="P25" s="147">
        <v>86.68857638888889</v>
      </c>
      <c r="Q25" s="138">
        <v>17120</v>
      </c>
      <c r="R25" s="138">
        <v>59.444444444444443</v>
      </c>
      <c r="S25" s="62">
        <v>0</v>
      </c>
      <c r="T25" s="147">
        <v>0</v>
      </c>
    </row>
    <row r="26" spans="2:20" ht="18.5" x14ac:dyDescent="0.45">
      <c r="B26" s="38" t="s">
        <v>8</v>
      </c>
      <c r="C26" s="92" t="s">
        <v>69</v>
      </c>
      <c r="D26" s="145" t="s">
        <v>0</v>
      </c>
      <c r="E26" s="62">
        <v>144000</v>
      </c>
      <c r="F26" s="85">
        <f>E26/288</f>
        <v>500</v>
      </c>
      <c r="G26" s="62">
        <f>216000/2</f>
        <v>108000</v>
      </c>
      <c r="H26" s="141">
        <f>G26/288</f>
        <v>375</v>
      </c>
      <c r="I26" s="138">
        <v>51887.51</v>
      </c>
      <c r="J26" s="138">
        <v>180.16496527777778</v>
      </c>
      <c r="K26" s="62">
        <v>72225</v>
      </c>
      <c r="L26" s="147">
        <v>250.78125</v>
      </c>
      <c r="M26" s="138">
        <v>60053.75</v>
      </c>
      <c r="N26" s="138">
        <v>208.51996527777777</v>
      </c>
      <c r="O26" s="62">
        <v>56175</v>
      </c>
      <c r="P26" s="147">
        <v>195.05208333333334</v>
      </c>
      <c r="Q26" s="138">
        <v>43513.69</v>
      </c>
      <c r="R26" s="138">
        <v>151.08920138888891</v>
      </c>
      <c r="S26" s="62">
        <v>52162.5</v>
      </c>
      <c r="T26" s="147">
        <v>181.11979166666666</v>
      </c>
    </row>
    <row r="27" spans="2:20" ht="18.5" x14ac:dyDescent="0.45">
      <c r="B27" s="39" t="s">
        <v>7</v>
      </c>
      <c r="C27" s="93" t="s">
        <v>43</v>
      </c>
      <c r="D27" s="146" t="s">
        <v>0</v>
      </c>
      <c r="E27" s="63">
        <v>45562</v>
      </c>
      <c r="F27" s="84">
        <f>E27/288</f>
        <v>158.20138888888889</v>
      </c>
      <c r="G27" s="63">
        <f>209520/3</f>
        <v>69840</v>
      </c>
      <c r="H27" s="142">
        <f>G27/288</f>
        <v>242.5</v>
      </c>
      <c r="I27" s="86">
        <v>39187.68</v>
      </c>
      <c r="J27" s="86">
        <v>136.06833333333333</v>
      </c>
      <c r="K27" s="63">
        <v>37296.990000000005</v>
      </c>
      <c r="L27" s="72">
        <v>129.50343750000002</v>
      </c>
      <c r="M27" s="86">
        <v>45903</v>
      </c>
      <c r="N27" s="86">
        <v>159.38541666666666</v>
      </c>
      <c r="O27" s="63">
        <v>38044.920000000006</v>
      </c>
      <c r="P27" s="72">
        <v>132.10041666666669</v>
      </c>
      <c r="Q27" s="86">
        <v>24163.81</v>
      </c>
      <c r="R27" s="86">
        <v>83.902118055555562</v>
      </c>
      <c r="S27" s="63">
        <v>43602.5</v>
      </c>
      <c r="T27" s="72">
        <v>151.39756944444446</v>
      </c>
    </row>
    <row r="28" spans="2:20" ht="18.5" x14ac:dyDescent="0.45">
      <c r="B28" s="39" t="s">
        <v>7</v>
      </c>
      <c r="C28" s="93" t="s">
        <v>44</v>
      </c>
      <c r="D28" s="146" t="s">
        <v>0</v>
      </c>
      <c r="E28" s="63">
        <v>51235</v>
      </c>
      <c r="F28" s="84">
        <f>E28/288</f>
        <v>177.89930555555554</v>
      </c>
      <c r="G28" s="63">
        <f>408240/9</f>
        <v>45360</v>
      </c>
      <c r="H28" s="142">
        <f>G28/288</f>
        <v>157.5</v>
      </c>
      <c r="I28" s="86">
        <v>28322.9</v>
      </c>
      <c r="J28" s="86">
        <v>98.343402777777783</v>
      </c>
      <c r="K28" s="63">
        <v>28222.320000000003</v>
      </c>
      <c r="L28" s="72">
        <v>97.994166666666672</v>
      </c>
      <c r="M28" s="86">
        <v>23910.22</v>
      </c>
      <c r="N28" s="86">
        <v>83.021597222222226</v>
      </c>
      <c r="O28" s="63">
        <v>17469.89</v>
      </c>
      <c r="P28" s="72">
        <v>60.659340277777773</v>
      </c>
      <c r="Q28" s="86">
        <v>17604.710000000003</v>
      </c>
      <c r="R28" s="86">
        <v>61.127465277777787</v>
      </c>
      <c r="S28" s="63">
        <v>25069.030000000002</v>
      </c>
      <c r="T28" s="72">
        <v>87.045243055555559</v>
      </c>
    </row>
    <row r="29" spans="2:20" ht="18.5" x14ac:dyDescent="0.45">
      <c r="B29" s="39" t="s">
        <v>7</v>
      </c>
      <c r="C29" s="93" t="s">
        <v>45</v>
      </c>
      <c r="D29" s="146" t="s">
        <v>0</v>
      </c>
      <c r="E29" s="63">
        <v>47520</v>
      </c>
      <c r="F29" s="84">
        <f>E29/288</f>
        <v>165</v>
      </c>
      <c r="G29" s="63">
        <v>46875</v>
      </c>
      <c r="H29" s="142">
        <f>G29/288</f>
        <v>162.76041666666666</v>
      </c>
      <c r="I29" s="86">
        <v>31565.000000000004</v>
      </c>
      <c r="J29" s="86">
        <v>109.60069444444446</v>
      </c>
      <c r="K29" s="63">
        <v>29264.5</v>
      </c>
      <c r="L29" s="72">
        <v>101.61284722222223</v>
      </c>
      <c r="M29" s="86">
        <v>24998.41</v>
      </c>
      <c r="N29" s="86">
        <v>86.800034722222222</v>
      </c>
      <c r="O29" s="63">
        <v>21687.83</v>
      </c>
      <c r="P29" s="72">
        <v>75.304965277777782</v>
      </c>
      <c r="Q29" s="86">
        <v>14941.480000000001</v>
      </c>
      <c r="R29" s="86">
        <v>51.880138888888894</v>
      </c>
      <c r="S29" s="63">
        <v>25752.760000000002</v>
      </c>
      <c r="T29" s="72">
        <v>89.419305555555567</v>
      </c>
    </row>
    <row r="30" spans="2:20" ht="18.5" x14ac:dyDescent="0.45">
      <c r="B30" s="39" t="s">
        <v>7</v>
      </c>
      <c r="C30" s="93" t="s">
        <v>91</v>
      </c>
      <c r="D30" s="146" t="s">
        <v>0</v>
      </c>
      <c r="E30" s="63">
        <v>58154</v>
      </c>
      <c r="F30" s="84">
        <f>E30/288</f>
        <v>201.92361111111111</v>
      </c>
      <c r="G30" s="63">
        <v>0</v>
      </c>
      <c r="H30" s="72">
        <v>0</v>
      </c>
      <c r="I30" s="86">
        <v>0</v>
      </c>
      <c r="J30" s="86">
        <v>0</v>
      </c>
      <c r="K30" s="63">
        <v>0</v>
      </c>
      <c r="L30" s="72">
        <v>0</v>
      </c>
      <c r="M30" s="86">
        <v>0</v>
      </c>
      <c r="N30" s="86">
        <v>0</v>
      </c>
      <c r="O30" s="63">
        <v>0</v>
      </c>
      <c r="P30" s="72">
        <v>0</v>
      </c>
      <c r="Q30" s="86">
        <v>0</v>
      </c>
      <c r="R30" s="86">
        <v>0</v>
      </c>
      <c r="S30" s="63">
        <v>0</v>
      </c>
      <c r="T30" s="72">
        <v>0</v>
      </c>
    </row>
    <row r="31" spans="2:20" ht="18.5" x14ac:dyDescent="0.45">
      <c r="B31" s="38" t="s">
        <v>8</v>
      </c>
      <c r="C31" s="92" t="s">
        <v>42</v>
      </c>
      <c r="D31" s="145" t="s">
        <v>0</v>
      </c>
      <c r="E31" s="62">
        <v>223200</v>
      </c>
      <c r="F31" s="85">
        <f>E31/288</f>
        <v>775</v>
      </c>
      <c r="G31" s="62">
        <v>194400</v>
      </c>
      <c r="H31" s="141">
        <f>G31/288</f>
        <v>675</v>
      </c>
      <c r="I31" s="138">
        <v>50557.5</v>
      </c>
      <c r="J31" s="138">
        <v>175.546875</v>
      </c>
      <c r="K31" s="62">
        <v>58850</v>
      </c>
      <c r="L31" s="147">
        <v>204.34027777777777</v>
      </c>
      <c r="M31" s="138">
        <v>55640</v>
      </c>
      <c r="N31" s="138">
        <v>193.19444444444446</v>
      </c>
      <c r="O31" s="62">
        <v>49220</v>
      </c>
      <c r="P31" s="147">
        <v>170.90277777777777</v>
      </c>
      <c r="Q31" s="138">
        <v>30227.5</v>
      </c>
      <c r="R31" s="138">
        <v>104.95659722222223</v>
      </c>
      <c r="S31" s="62">
        <v>48417.5</v>
      </c>
      <c r="T31" s="147">
        <v>168.11631944444446</v>
      </c>
    </row>
    <row r="32" spans="2:20" ht="18.5" x14ac:dyDescent="0.45">
      <c r="B32" s="38" t="s">
        <v>8</v>
      </c>
      <c r="C32" s="92" t="s">
        <v>70</v>
      </c>
      <c r="D32" s="145" t="s">
        <v>0</v>
      </c>
      <c r="E32" s="62">
        <v>74520</v>
      </c>
      <c r="F32" s="85">
        <f>E32/288</f>
        <v>258.75</v>
      </c>
      <c r="G32" s="62">
        <f>142560/2</f>
        <v>71280</v>
      </c>
      <c r="H32" s="141">
        <f>G32/288</f>
        <v>247.5</v>
      </c>
      <c r="I32" s="138">
        <v>32233.750000000004</v>
      </c>
      <c r="J32" s="138">
        <v>111.92274305555557</v>
      </c>
      <c r="K32" s="62">
        <v>31743.690000000002</v>
      </c>
      <c r="L32" s="147">
        <v>110.22114583333334</v>
      </c>
      <c r="M32" s="138">
        <v>43442</v>
      </c>
      <c r="N32" s="138">
        <v>150.84027777777777</v>
      </c>
      <c r="O32" s="62">
        <v>32635.000000000004</v>
      </c>
      <c r="P32" s="147">
        <v>113.31597222222223</v>
      </c>
      <c r="Q32" s="138">
        <v>26482.5</v>
      </c>
      <c r="R32" s="138">
        <v>91.953125</v>
      </c>
      <c r="S32" s="62">
        <v>49576.310000000005</v>
      </c>
      <c r="T32" s="147">
        <v>172.1399652777778</v>
      </c>
    </row>
    <row r="33" spans="2:20" ht="18.5" x14ac:dyDescent="0.45">
      <c r="B33" s="39" t="s">
        <v>7</v>
      </c>
      <c r="C33" s="93" t="s">
        <v>71</v>
      </c>
      <c r="D33" s="146" t="s">
        <v>0</v>
      </c>
      <c r="E33" s="63">
        <v>166050</v>
      </c>
      <c r="F33" s="84">
        <f>E33/288</f>
        <v>576.5625</v>
      </c>
      <c r="G33" s="63">
        <f>707400/4</f>
        <v>176850</v>
      </c>
      <c r="H33" s="142">
        <f>G33/288</f>
        <v>614.0625</v>
      </c>
      <c r="I33" s="86">
        <v>99687.62000000001</v>
      </c>
      <c r="J33" s="86">
        <v>346.13756944444447</v>
      </c>
      <c r="K33" s="63">
        <v>94823.400000000009</v>
      </c>
      <c r="L33" s="72">
        <v>329.2479166666667</v>
      </c>
      <c r="M33" s="86">
        <v>71690</v>
      </c>
      <c r="N33" s="86">
        <v>248.92361111111111</v>
      </c>
      <c r="O33" s="63">
        <v>63893.98</v>
      </c>
      <c r="P33" s="72">
        <v>221.85409722222224</v>
      </c>
      <c r="Q33" s="86">
        <v>44619</v>
      </c>
      <c r="R33" s="86">
        <v>154.92708333333334</v>
      </c>
      <c r="S33" s="63">
        <v>82604</v>
      </c>
      <c r="T33" s="72">
        <v>286.81944444444446</v>
      </c>
    </row>
    <row r="34" spans="2:20" ht="18.5" x14ac:dyDescent="0.45">
      <c r="B34" s="39" t="s">
        <v>7</v>
      </c>
      <c r="C34" s="93" t="s">
        <v>72</v>
      </c>
      <c r="D34" s="146" t="s">
        <v>0</v>
      </c>
      <c r="E34" s="63">
        <v>153257</v>
      </c>
      <c r="F34" s="84">
        <f>E34/288</f>
        <v>532.14236111111109</v>
      </c>
      <c r="G34" s="63">
        <f>(1976400+75600)/15</f>
        <v>136800</v>
      </c>
      <c r="H34" s="142">
        <f>G34/288</f>
        <v>475</v>
      </c>
      <c r="I34" s="86">
        <v>91378</v>
      </c>
      <c r="J34" s="86">
        <v>317.28472222222223</v>
      </c>
      <c r="K34" s="63">
        <v>87707.900000000009</v>
      </c>
      <c r="L34" s="72">
        <v>304.54131944444447</v>
      </c>
      <c r="M34" s="86">
        <v>76224.66</v>
      </c>
      <c r="N34" s="86">
        <v>264.66895833333336</v>
      </c>
      <c r="O34" s="63">
        <v>54826.8</v>
      </c>
      <c r="P34" s="72">
        <v>190.37083333333334</v>
      </c>
      <c r="Q34" s="86">
        <v>42338.83</v>
      </c>
      <c r="R34" s="86">
        <v>147.00982638888888</v>
      </c>
      <c r="S34" s="63">
        <v>59482.37</v>
      </c>
      <c r="T34" s="72">
        <v>206.53600694444447</v>
      </c>
    </row>
    <row r="35" spans="2:20" ht="18.5" x14ac:dyDescent="0.45">
      <c r="B35" s="38" t="s">
        <v>8</v>
      </c>
      <c r="C35" s="92" t="s">
        <v>46</v>
      </c>
      <c r="D35" s="145" t="s">
        <v>2</v>
      </c>
      <c r="E35" s="62">
        <v>57927</v>
      </c>
      <c r="F35" s="85">
        <f>E35/288</f>
        <v>201.13541666666666</v>
      </c>
      <c r="G35" s="62">
        <f>178200/3</f>
        <v>59400</v>
      </c>
      <c r="H35" s="141">
        <f>G35/288</f>
        <v>206.25</v>
      </c>
      <c r="I35" s="138">
        <v>28300.43</v>
      </c>
      <c r="J35" s="138">
        <v>98.265381944444442</v>
      </c>
      <c r="K35" s="62">
        <v>24312.54</v>
      </c>
      <c r="L35" s="147">
        <v>84.41854166666667</v>
      </c>
      <c r="M35" s="138">
        <v>24484.81</v>
      </c>
      <c r="N35" s="138">
        <v>85.01670138888889</v>
      </c>
      <c r="O35" s="62">
        <v>21281.23</v>
      </c>
      <c r="P35" s="147">
        <v>73.893159722222222</v>
      </c>
      <c r="Q35" s="138">
        <v>18278.810000000001</v>
      </c>
      <c r="R35" s="138">
        <v>63.468090277777783</v>
      </c>
      <c r="S35" s="62">
        <v>28462</v>
      </c>
      <c r="T35" s="147">
        <v>98.826388888888886</v>
      </c>
    </row>
    <row r="36" spans="2:20" ht="18.5" x14ac:dyDescent="0.45">
      <c r="B36" s="38" t="s">
        <v>8</v>
      </c>
      <c r="C36" s="92" t="s">
        <v>47</v>
      </c>
      <c r="D36" s="145" t="s">
        <v>2</v>
      </c>
      <c r="E36" s="62">
        <v>57780</v>
      </c>
      <c r="F36" s="85">
        <f>E36/288</f>
        <v>200.625</v>
      </c>
      <c r="G36" s="62">
        <f>384480/6</f>
        <v>64080</v>
      </c>
      <c r="H36" s="141">
        <f>G36/288</f>
        <v>222.5</v>
      </c>
      <c r="I36" s="138">
        <v>28294.010000000002</v>
      </c>
      <c r="J36" s="138">
        <v>98.243090277777782</v>
      </c>
      <c r="K36" s="62">
        <v>29960</v>
      </c>
      <c r="L36" s="147">
        <v>104.02777777777777</v>
      </c>
      <c r="M36" s="138">
        <v>23540</v>
      </c>
      <c r="N36" s="138">
        <v>81.736111111111114</v>
      </c>
      <c r="O36" s="62">
        <v>21302.63</v>
      </c>
      <c r="P36" s="147">
        <v>73.967465277777777</v>
      </c>
      <c r="Q36" s="138">
        <v>15354.5</v>
      </c>
      <c r="R36" s="138">
        <v>53.314236111111114</v>
      </c>
      <c r="S36" s="62">
        <v>23540</v>
      </c>
      <c r="T36" s="147">
        <v>81.736111111111114</v>
      </c>
    </row>
    <row r="37" spans="2:20" ht="18.5" x14ac:dyDescent="0.45">
      <c r="B37" s="38" t="s">
        <v>8</v>
      </c>
      <c r="C37" s="92" t="s">
        <v>48</v>
      </c>
      <c r="D37" s="145" t="s">
        <v>2</v>
      </c>
      <c r="E37" s="62">
        <v>45206</v>
      </c>
      <c r="F37" s="85">
        <f>E37/288</f>
        <v>156.96527777777777</v>
      </c>
      <c r="G37" s="62">
        <f>255960/5</f>
        <v>51192</v>
      </c>
      <c r="H37" s="141">
        <f>G37/288</f>
        <v>177.75</v>
      </c>
      <c r="I37" s="138">
        <v>23253.24</v>
      </c>
      <c r="J37" s="138">
        <v>80.740416666666675</v>
      </c>
      <c r="K37" s="62">
        <v>24566.13</v>
      </c>
      <c r="L37" s="147">
        <v>85.299062500000005</v>
      </c>
      <c r="M37" s="138">
        <v>17799.45</v>
      </c>
      <c r="N37" s="138">
        <v>61.803645833333334</v>
      </c>
      <c r="O37" s="62">
        <v>15931.230000000001</v>
      </c>
      <c r="P37" s="147">
        <v>55.316770833333337</v>
      </c>
      <c r="Q37" s="138">
        <v>14586.240000000002</v>
      </c>
      <c r="R37" s="138">
        <v>50.646666666666675</v>
      </c>
      <c r="S37" s="62">
        <v>23578.52</v>
      </c>
      <c r="T37" s="147">
        <v>81.869861111111106</v>
      </c>
    </row>
    <row r="38" spans="2:20" ht="18.5" x14ac:dyDescent="0.45">
      <c r="B38" s="38" t="s">
        <v>8</v>
      </c>
      <c r="C38" s="92" t="s">
        <v>49</v>
      </c>
      <c r="D38" s="145" t="s">
        <v>2</v>
      </c>
      <c r="E38" s="62">
        <v>56400</v>
      </c>
      <c r="F38" s="85">
        <f>E38/288</f>
        <v>195.83333333333334</v>
      </c>
      <c r="G38" s="62">
        <f>218160/4</f>
        <v>54540</v>
      </c>
      <c r="H38" s="141">
        <f>G38/288</f>
        <v>189.375</v>
      </c>
      <c r="I38" s="138">
        <v>31831.43</v>
      </c>
      <c r="J38" s="138">
        <v>110.52579861111111</v>
      </c>
      <c r="K38" s="62">
        <v>28236.230000000003</v>
      </c>
      <c r="L38" s="147">
        <v>98.042465277777794</v>
      </c>
      <c r="M38" s="138">
        <v>22398.31</v>
      </c>
      <c r="N38" s="138">
        <v>77.771909722222233</v>
      </c>
      <c r="O38" s="62">
        <v>17284.780000000002</v>
      </c>
      <c r="P38" s="147">
        <v>60.016597222222231</v>
      </c>
      <c r="Q38" s="138">
        <v>19260</v>
      </c>
      <c r="R38" s="138">
        <v>66.875</v>
      </c>
      <c r="S38" s="62">
        <v>24342.5</v>
      </c>
      <c r="T38" s="147">
        <v>84.522569444444443</v>
      </c>
    </row>
    <row r="39" spans="2:20" ht="18.5" x14ac:dyDescent="0.45">
      <c r="B39" s="38" t="s">
        <v>8</v>
      </c>
      <c r="C39" s="92" t="s">
        <v>50</v>
      </c>
      <c r="D39" s="145" t="s">
        <v>2</v>
      </c>
      <c r="E39" s="62">
        <v>48600</v>
      </c>
      <c r="F39" s="85">
        <f>E39/288</f>
        <v>168.75</v>
      </c>
      <c r="G39" s="62">
        <f>152280/3</f>
        <v>50760</v>
      </c>
      <c r="H39" s="141">
        <f>G39/288</f>
        <v>176.25</v>
      </c>
      <c r="I39" s="138">
        <v>22587.7</v>
      </c>
      <c r="J39" s="138">
        <v>78.429513888888891</v>
      </c>
      <c r="K39" s="62">
        <v>23513.25</v>
      </c>
      <c r="L39" s="147">
        <v>81.643229166666671</v>
      </c>
      <c r="M39" s="138">
        <v>18161.11</v>
      </c>
      <c r="N39" s="138">
        <v>63.059409722222227</v>
      </c>
      <c r="O39" s="62">
        <v>17412.11</v>
      </c>
      <c r="P39" s="147">
        <v>60.458715277777777</v>
      </c>
      <c r="Q39" s="138">
        <v>16718.75</v>
      </c>
      <c r="R39" s="138">
        <v>58.051215277777779</v>
      </c>
      <c r="S39" s="62">
        <v>26883.75</v>
      </c>
      <c r="T39" s="147">
        <v>93.346354166666671</v>
      </c>
    </row>
    <row r="40" spans="2:20" ht="18.5" x14ac:dyDescent="0.45">
      <c r="B40" s="38" t="s">
        <v>8</v>
      </c>
      <c r="C40" s="92" t="s">
        <v>51</v>
      </c>
      <c r="D40" s="145" t="s">
        <v>4</v>
      </c>
      <c r="E40" s="62">
        <v>41310</v>
      </c>
      <c r="F40" s="85">
        <f>E40/288</f>
        <v>143.4375</v>
      </c>
      <c r="G40" s="62">
        <f>70200/2</f>
        <v>35100</v>
      </c>
      <c r="H40" s="141">
        <f>G40/288</f>
        <v>121.875</v>
      </c>
      <c r="I40" s="138">
        <v>15877.730000000001</v>
      </c>
      <c r="J40" s="138">
        <v>55.131006944444451</v>
      </c>
      <c r="K40" s="62">
        <v>17976</v>
      </c>
      <c r="L40" s="147">
        <v>62.416666666666664</v>
      </c>
      <c r="M40" s="138">
        <v>13102.150000000001</v>
      </c>
      <c r="N40" s="138">
        <v>45.493576388888897</v>
      </c>
      <c r="O40" s="62">
        <v>14111.160000000002</v>
      </c>
      <c r="P40" s="147">
        <v>48.997083333333336</v>
      </c>
      <c r="Q40" s="138">
        <v>0</v>
      </c>
      <c r="R40" s="138">
        <v>0</v>
      </c>
      <c r="S40" s="62">
        <v>17298.690000000002</v>
      </c>
      <c r="T40" s="147">
        <v>60.064895833333338</v>
      </c>
    </row>
    <row r="41" spans="2:20" ht="18.5" x14ac:dyDescent="0.45">
      <c r="B41" s="38" t="s">
        <v>8</v>
      </c>
      <c r="C41" s="92" t="s">
        <v>52</v>
      </c>
      <c r="D41" s="145" t="s">
        <v>4</v>
      </c>
      <c r="E41" s="62">
        <v>30480</v>
      </c>
      <c r="F41" s="85">
        <f>E41/288</f>
        <v>105.83333333333333</v>
      </c>
      <c r="G41" s="62">
        <f>128520/4</f>
        <v>32130</v>
      </c>
      <c r="H41" s="141">
        <f>G41/288</f>
        <v>111.5625</v>
      </c>
      <c r="I41" s="138">
        <v>14155.03</v>
      </c>
      <c r="J41" s="138">
        <v>49.149409722222224</v>
      </c>
      <c r="K41" s="62">
        <v>15622</v>
      </c>
      <c r="L41" s="147">
        <v>54.243055555555557</v>
      </c>
      <c r="M41" s="138">
        <v>12746.91</v>
      </c>
      <c r="N41" s="138">
        <v>44.260104166666665</v>
      </c>
      <c r="O41" s="62">
        <v>11358.050000000001</v>
      </c>
      <c r="P41" s="147">
        <v>39.437673611111116</v>
      </c>
      <c r="Q41" s="138">
        <v>10935.400000000001</v>
      </c>
      <c r="R41" s="138">
        <v>37.970138888888897</v>
      </c>
      <c r="S41" s="62">
        <v>15563.150000000001</v>
      </c>
      <c r="T41" s="147">
        <v>54.038715277777783</v>
      </c>
    </row>
    <row r="42" spans="2:20" ht="18.5" x14ac:dyDescent="0.45">
      <c r="B42" s="39" t="s">
        <v>7</v>
      </c>
      <c r="C42" s="93" t="s">
        <v>53</v>
      </c>
      <c r="D42" s="146" t="s">
        <v>4</v>
      </c>
      <c r="E42" s="63">
        <v>15286</v>
      </c>
      <c r="F42" s="84">
        <f>E42/288</f>
        <v>53.076388888888886</v>
      </c>
      <c r="G42" s="63">
        <f>122040/9</f>
        <v>13560</v>
      </c>
      <c r="H42" s="142">
        <f>G42/288</f>
        <v>47.083333333333336</v>
      </c>
      <c r="I42" s="86">
        <v>9581.85</v>
      </c>
      <c r="J42" s="86">
        <v>33.270312500000003</v>
      </c>
      <c r="K42" s="63">
        <v>10604.77</v>
      </c>
      <c r="L42" s="72">
        <v>36.822118055555556</v>
      </c>
      <c r="M42" s="86">
        <v>8032.4900000000007</v>
      </c>
      <c r="N42" s="86">
        <v>27.890590277777779</v>
      </c>
      <c r="O42" s="63">
        <v>6561.2400000000007</v>
      </c>
      <c r="P42" s="72">
        <v>22.782083333333336</v>
      </c>
      <c r="Q42" s="86">
        <v>6527</v>
      </c>
      <c r="R42" s="86">
        <v>22.663194444444443</v>
      </c>
      <c r="S42" s="63">
        <v>8971.9500000000007</v>
      </c>
      <c r="T42" s="72">
        <v>31.15260416666667</v>
      </c>
    </row>
    <row r="43" spans="2:20" ht="18.5" x14ac:dyDescent="0.45">
      <c r="B43" s="39" t="s">
        <v>7</v>
      </c>
      <c r="C43" s="94" t="s">
        <v>73</v>
      </c>
      <c r="D43" s="146" t="s">
        <v>2</v>
      </c>
      <c r="E43" s="63">
        <v>15930</v>
      </c>
      <c r="F43" s="84">
        <f>E43/288</f>
        <v>55.3125</v>
      </c>
      <c r="G43" s="63">
        <f>68040/5</f>
        <v>13608</v>
      </c>
      <c r="H43" s="142">
        <f>G43/288</f>
        <v>47.25</v>
      </c>
      <c r="I43" s="86">
        <v>11342</v>
      </c>
      <c r="J43" s="86">
        <v>39.381944444444443</v>
      </c>
      <c r="K43" s="63">
        <v>11723.99</v>
      </c>
      <c r="L43" s="72">
        <v>40.708298611111111</v>
      </c>
      <c r="M43" s="86">
        <v>7744.6600000000008</v>
      </c>
      <c r="N43" s="86">
        <v>26.891180555555557</v>
      </c>
      <c r="O43" s="63">
        <v>7022.4100000000008</v>
      </c>
      <c r="P43" s="72">
        <v>24.383368055555557</v>
      </c>
      <c r="Q43" s="86">
        <v>6045.5</v>
      </c>
      <c r="R43" s="86">
        <v>20.991319444444443</v>
      </c>
      <c r="S43" s="63">
        <v>9126.0300000000007</v>
      </c>
      <c r="T43" s="72">
        <v>31.68760416666667</v>
      </c>
    </row>
    <row r="44" spans="2:20" ht="18.5" x14ac:dyDescent="0.45">
      <c r="B44" s="39" t="s">
        <v>7</v>
      </c>
      <c r="C44" s="93" t="s">
        <v>54</v>
      </c>
      <c r="D44" s="146" t="s">
        <v>2</v>
      </c>
      <c r="E44" s="63">
        <v>35340</v>
      </c>
      <c r="F44" s="84">
        <f>E44/288</f>
        <v>122.70833333333333</v>
      </c>
      <c r="G44" s="63">
        <f>336960/10</f>
        <v>33696</v>
      </c>
      <c r="H44" s="142">
        <f>G44/288</f>
        <v>117</v>
      </c>
      <c r="I44" s="86">
        <v>26322</v>
      </c>
      <c r="J44" s="86">
        <v>91.395833333333329</v>
      </c>
      <c r="K44" s="63">
        <v>25514.15</v>
      </c>
      <c r="L44" s="72">
        <v>88.590798611111111</v>
      </c>
      <c r="M44" s="86">
        <v>22023.81</v>
      </c>
      <c r="N44" s="86">
        <v>76.471562500000005</v>
      </c>
      <c r="O44" s="63">
        <v>16347.460000000001</v>
      </c>
      <c r="P44" s="72">
        <v>56.762013888888895</v>
      </c>
      <c r="Q44" s="86">
        <v>15125.52</v>
      </c>
      <c r="R44" s="86">
        <v>52.519166666666671</v>
      </c>
      <c r="S44" s="63">
        <v>18083</v>
      </c>
      <c r="T44" s="72">
        <v>62.788194444444443</v>
      </c>
    </row>
    <row r="45" spans="2:20" ht="18.5" x14ac:dyDescent="0.45">
      <c r="B45" s="39" t="s">
        <v>7</v>
      </c>
      <c r="C45" s="93" t="s">
        <v>55</v>
      </c>
      <c r="D45" s="146" t="s">
        <v>2</v>
      </c>
      <c r="E45" s="63">
        <v>23272</v>
      </c>
      <c r="F45" s="84">
        <f>E45/288</f>
        <v>80.805555555555557</v>
      </c>
      <c r="G45" s="63">
        <f>382320/17</f>
        <v>22489.411764705881</v>
      </c>
      <c r="H45" s="142">
        <f>G45/288</f>
        <v>78.088235294117638</v>
      </c>
      <c r="I45" s="86">
        <v>14659</v>
      </c>
      <c r="J45" s="86">
        <v>50.899305555555557</v>
      </c>
      <c r="K45" s="63">
        <v>16171.980000000001</v>
      </c>
      <c r="L45" s="72">
        <v>56.152708333333337</v>
      </c>
      <c r="M45" s="86">
        <v>11196.480000000001</v>
      </c>
      <c r="N45" s="86">
        <v>38.876666666666672</v>
      </c>
      <c r="O45" s="63">
        <v>11823.5</v>
      </c>
      <c r="P45" s="72">
        <v>41.053819444444443</v>
      </c>
      <c r="Q45" s="86">
        <v>12776.87</v>
      </c>
      <c r="R45" s="86">
        <v>44.364131944444445</v>
      </c>
      <c r="S45" s="63">
        <v>14204.25</v>
      </c>
      <c r="T45" s="72">
        <v>49.3203125</v>
      </c>
    </row>
    <row r="46" spans="2:20" ht="18.5" x14ac:dyDescent="0.45">
      <c r="B46" s="39" t="s">
        <v>7</v>
      </c>
      <c r="C46" s="95" t="s">
        <v>63</v>
      </c>
      <c r="D46" s="146" t="s">
        <v>4</v>
      </c>
      <c r="E46" s="63">
        <v>16200</v>
      </c>
      <c r="F46" s="84">
        <f>E46/288</f>
        <v>56.25</v>
      </c>
      <c r="G46" s="63">
        <f>141480/7</f>
        <v>20211.428571428572</v>
      </c>
      <c r="H46" s="142">
        <f>G46/288</f>
        <v>70.178571428571431</v>
      </c>
      <c r="I46" s="86">
        <v>10860.5</v>
      </c>
      <c r="J46" s="86">
        <v>37.710069444444443</v>
      </c>
      <c r="K46" s="63">
        <v>12858.19</v>
      </c>
      <c r="L46" s="72">
        <v>44.64649305555556</v>
      </c>
      <c r="M46" s="86">
        <v>11636.25</v>
      </c>
      <c r="N46" s="86">
        <v>40.403645833333336</v>
      </c>
      <c r="O46" s="63">
        <v>8025.0000000000009</v>
      </c>
      <c r="P46" s="72">
        <v>27.864583333333336</v>
      </c>
      <c r="Q46" s="86">
        <v>11780.7</v>
      </c>
      <c r="R46" s="86">
        <v>40.905208333333334</v>
      </c>
      <c r="S46" s="63">
        <v>12305</v>
      </c>
      <c r="T46" s="72">
        <v>42.725694444444443</v>
      </c>
    </row>
    <row r="47" spans="2:20" ht="18.5" x14ac:dyDescent="0.45">
      <c r="B47" s="39" t="s">
        <v>7</v>
      </c>
      <c r="C47" s="93" t="s">
        <v>56</v>
      </c>
      <c r="D47" s="146" t="s">
        <v>4</v>
      </c>
      <c r="E47" s="63">
        <v>19440</v>
      </c>
      <c r="F47" s="84">
        <f>E47/288</f>
        <v>67.5</v>
      </c>
      <c r="G47" s="63">
        <f>244080/13</f>
        <v>18775.384615384617</v>
      </c>
      <c r="H47" s="142">
        <f>G47/288</f>
        <v>65.192307692307693</v>
      </c>
      <c r="I47" s="86">
        <v>13027.25</v>
      </c>
      <c r="J47" s="86">
        <v>45.233506944444443</v>
      </c>
      <c r="K47" s="63">
        <v>12857.12</v>
      </c>
      <c r="L47" s="72">
        <v>44.642777777777781</v>
      </c>
      <c r="M47" s="86">
        <v>11636.25</v>
      </c>
      <c r="N47" s="86">
        <v>40.403645833333336</v>
      </c>
      <c r="O47" s="63">
        <v>8025.0000000000009</v>
      </c>
      <c r="P47" s="72">
        <v>27.864583333333336</v>
      </c>
      <c r="Q47" s="86">
        <v>11780.7</v>
      </c>
      <c r="R47" s="86">
        <v>40.905208333333334</v>
      </c>
      <c r="S47" s="63">
        <v>12305</v>
      </c>
      <c r="T47" s="72">
        <v>42.725694444444443</v>
      </c>
    </row>
    <row r="48" spans="2:20" ht="18.5" x14ac:dyDescent="0.45">
      <c r="B48" s="39" t="s">
        <v>7</v>
      </c>
      <c r="C48" s="93" t="s">
        <v>57</v>
      </c>
      <c r="D48" s="146" t="s">
        <v>4</v>
      </c>
      <c r="E48" s="63">
        <v>17468</v>
      </c>
      <c r="F48" s="84">
        <f>E48/288</f>
        <v>60.652777777777779</v>
      </c>
      <c r="G48" s="63">
        <f>205200/12</f>
        <v>17100</v>
      </c>
      <c r="H48" s="142">
        <f>G48/288</f>
        <v>59.375</v>
      </c>
      <c r="I48" s="86">
        <v>12468.710000000001</v>
      </c>
      <c r="J48" s="86">
        <v>43.294131944444445</v>
      </c>
      <c r="K48" s="63">
        <v>11400.85</v>
      </c>
      <c r="L48" s="72">
        <v>39.586284722222224</v>
      </c>
      <c r="M48" s="86">
        <v>9405.3000000000011</v>
      </c>
      <c r="N48" s="86">
        <v>32.657291666666673</v>
      </c>
      <c r="O48" s="63">
        <v>8753.67</v>
      </c>
      <c r="P48" s="72">
        <v>30.3946875</v>
      </c>
      <c r="Q48" s="86">
        <v>7004.22</v>
      </c>
      <c r="R48" s="86">
        <v>24.320208333333333</v>
      </c>
      <c r="S48" s="63">
        <v>11984</v>
      </c>
      <c r="T48" s="72">
        <v>41.611111111111114</v>
      </c>
    </row>
    <row r="49" spans="2:20" ht="18.5" x14ac:dyDescent="0.45">
      <c r="B49" s="38" t="s">
        <v>8</v>
      </c>
      <c r="C49" s="92" t="s">
        <v>74</v>
      </c>
      <c r="D49" s="145" t="s">
        <v>4</v>
      </c>
      <c r="E49" s="62">
        <v>18468</v>
      </c>
      <c r="F49" s="85">
        <f>E49/288</f>
        <v>64.125</v>
      </c>
      <c r="G49" s="62">
        <f>313200/17</f>
        <v>18423.529411764706</v>
      </c>
      <c r="H49" s="141">
        <f>G49/288</f>
        <v>63.970588235294116</v>
      </c>
      <c r="I49" s="138">
        <v>9881.4500000000007</v>
      </c>
      <c r="J49" s="138">
        <v>34.310590277777777</v>
      </c>
      <c r="K49" s="62">
        <v>12258.990000000002</v>
      </c>
      <c r="L49" s="147">
        <v>42.565937500000004</v>
      </c>
      <c r="M49" s="138">
        <v>8745.11</v>
      </c>
      <c r="N49" s="138">
        <v>30.364965277777781</v>
      </c>
      <c r="O49" s="62">
        <v>7300.6100000000006</v>
      </c>
      <c r="P49" s="147">
        <v>25.349340277777781</v>
      </c>
      <c r="Q49" s="138">
        <v>4868.5</v>
      </c>
      <c r="R49" s="138">
        <v>16.904513888888889</v>
      </c>
      <c r="S49" s="62">
        <v>10430.36</v>
      </c>
      <c r="T49" s="147">
        <v>36.216527777777777</v>
      </c>
    </row>
    <row r="50" spans="2:20" ht="18.5" x14ac:dyDescent="0.45">
      <c r="B50" s="38" t="s">
        <v>8</v>
      </c>
      <c r="C50" s="92" t="s">
        <v>75</v>
      </c>
      <c r="D50" s="145" t="s">
        <v>4</v>
      </c>
      <c r="E50" s="62">
        <v>59400</v>
      </c>
      <c r="F50" s="85">
        <f>E50/288</f>
        <v>206.25</v>
      </c>
      <c r="G50" s="62">
        <v>54000</v>
      </c>
      <c r="H50" s="141">
        <f>G50/288</f>
        <v>187.5</v>
      </c>
      <c r="I50" s="138">
        <v>24610</v>
      </c>
      <c r="J50" s="138">
        <v>85.451388888888886</v>
      </c>
      <c r="K50" s="62">
        <v>25680</v>
      </c>
      <c r="L50" s="147">
        <v>89.166666666666671</v>
      </c>
      <c r="M50" s="138">
        <v>23540</v>
      </c>
      <c r="N50" s="138">
        <v>81.736111111111114</v>
      </c>
      <c r="O50" s="62">
        <v>20330</v>
      </c>
      <c r="P50" s="147">
        <v>70.590277777777771</v>
      </c>
      <c r="Q50" s="138">
        <v>0</v>
      </c>
      <c r="R50" s="138">
        <v>0</v>
      </c>
      <c r="S50" s="62">
        <v>0</v>
      </c>
      <c r="T50" s="147">
        <v>0</v>
      </c>
    </row>
    <row r="51" spans="2:20" ht="18.5" x14ac:dyDescent="0.45">
      <c r="B51" s="38" t="s">
        <v>8</v>
      </c>
      <c r="C51" s="92" t="s">
        <v>76</v>
      </c>
      <c r="D51" s="145" t="s">
        <v>4</v>
      </c>
      <c r="E51" s="62">
        <v>21993</v>
      </c>
      <c r="F51" s="85">
        <f>E51/288</f>
        <v>76.364583333333329</v>
      </c>
      <c r="G51" s="62">
        <f>(28620+8100)/2</f>
        <v>18360</v>
      </c>
      <c r="H51" s="141">
        <f>G51/288</f>
        <v>63.75</v>
      </c>
      <c r="I51" s="138">
        <v>10568.390000000001</v>
      </c>
      <c r="J51" s="138">
        <v>36.695798611111115</v>
      </c>
      <c r="K51" s="62">
        <v>11163.310000000001</v>
      </c>
      <c r="L51" s="147">
        <v>38.761493055555562</v>
      </c>
      <c r="M51" s="138">
        <v>9041.5</v>
      </c>
      <c r="N51" s="138">
        <v>31.394097222222221</v>
      </c>
      <c r="O51" s="62">
        <v>6696.06</v>
      </c>
      <c r="P51" s="147">
        <v>23.250208333333333</v>
      </c>
      <c r="Q51" s="138">
        <v>5189.5</v>
      </c>
      <c r="R51" s="138">
        <v>18.019097222222221</v>
      </c>
      <c r="S51" s="62">
        <v>10700</v>
      </c>
      <c r="T51" s="147">
        <v>37.152777777777779</v>
      </c>
    </row>
    <row r="52" spans="2:20" ht="18.5" x14ac:dyDescent="0.45">
      <c r="B52" s="39" t="s">
        <v>7</v>
      </c>
      <c r="C52" s="93" t="s">
        <v>58</v>
      </c>
      <c r="D52" s="146" t="s">
        <v>4</v>
      </c>
      <c r="E52" s="63">
        <v>0</v>
      </c>
      <c r="F52" s="84">
        <f>E52/288</f>
        <v>0</v>
      </c>
      <c r="G52" s="63">
        <f>33480/2</f>
        <v>16740</v>
      </c>
      <c r="H52" s="142">
        <f>G52/288</f>
        <v>58.125</v>
      </c>
      <c r="I52" s="86">
        <v>8560</v>
      </c>
      <c r="J52" s="86">
        <v>29.722222222222221</v>
      </c>
      <c r="K52" s="63">
        <v>12037.5</v>
      </c>
      <c r="L52" s="72">
        <v>41.796875</v>
      </c>
      <c r="M52" s="86">
        <v>9541.19</v>
      </c>
      <c r="N52" s="86">
        <v>33.129131944444445</v>
      </c>
      <c r="O52" s="63">
        <v>7668.6900000000005</v>
      </c>
      <c r="P52" s="72">
        <v>26.627395833333335</v>
      </c>
      <c r="Q52" s="86">
        <v>4114.1500000000005</v>
      </c>
      <c r="R52" s="86">
        <v>14.285243055555558</v>
      </c>
      <c r="S52" s="63">
        <v>6698.2000000000007</v>
      </c>
      <c r="T52" s="72">
        <v>23.257638888888891</v>
      </c>
    </row>
    <row r="53" spans="2:20" ht="18.5" x14ac:dyDescent="0.45">
      <c r="B53" s="39" t="s">
        <v>7</v>
      </c>
      <c r="C53" s="93" t="s">
        <v>77</v>
      </c>
      <c r="D53" s="146" t="s">
        <v>2</v>
      </c>
      <c r="E53" s="63">
        <v>16605</v>
      </c>
      <c r="F53" s="84">
        <f>E53/288</f>
        <v>57.65625</v>
      </c>
      <c r="G53" s="63">
        <f>211680/13</f>
        <v>16283.076923076924</v>
      </c>
      <c r="H53" s="142">
        <f>G53/288</f>
        <v>56.53846153846154</v>
      </c>
      <c r="I53" s="86">
        <v>10199.24</v>
      </c>
      <c r="J53" s="86">
        <v>35.414027777777775</v>
      </c>
      <c r="K53" s="63">
        <v>9689.92</v>
      </c>
      <c r="L53" s="72">
        <v>33.645555555555553</v>
      </c>
      <c r="M53" s="86">
        <v>8470.1200000000008</v>
      </c>
      <c r="N53" s="86">
        <v>29.410138888888891</v>
      </c>
      <c r="O53" s="63">
        <v>7559.55</v>
      </c>
      <c r="P53" s="72">
        <v>26.248437500000001</v>
      </c>
      <c r="Q53" s="86">
        <v>6294.81</v>
      </c>
      <c r="R53" s="86">
        <v>21.856979166666669</v>
      </c>
      <c r="S53" s="63">
        <v>8088.13</v>
      </c>
      <c r="T53" s="72">
        <v>28.083784722222223</v>
      </c>
    </row>
    <row r="54" spans="2:20" ht="18.5" x14ac:dyDescent="0.45">
      <c r="B54" s="39" t="s">
        <v>7</v>
      </c>
      <c r="C54" s="93" t="s">
        <v>78</v>
      </c>
      <c r="D54" s="146" t="s">
        <v>2</v>
      </c>
      <c r="E54" s="63">
        <v>16615</v>
      </c>
      <c r="F54" s="84">
        <f>E54/288</f>
        <v>57.690972222222221</v>
      </c>
      <c r="G54" s="63">
        <f>180360/10</f>
        <v>18036</v>
      </c>
      <c r="H54" s="142">
        <f>G54/288</f>
        <v>62.625</v>
      </c>
      <c r="I54" s="86">
        <v>11580.61</v>
      </c>
      <c r="J54" s="86">
        <v>40.210451388888892</v>
      </c>
      <c r="K54" s="63">
        <v>11964.740000000002</v>
      </c>
      <c r="L54" s="72">
        <v>41.544236111111118</v>
      </c>
      <c r="M54" s="86">
        <v>9698.4800000000014</v>
      </c>
      <c r="N54" s="86">
        <v>33.675277777777779</v>
      </c>
      <c r="O54" s="63">
        <v>7415.1</v>
      </c>
      <c r="P54" s="72">
        <v>25.746875000000003</v>
      </c>
      <c r="Q54" s="86">
        <v>0</v>
      </c>
      <c r="R54" s="86">
        <v>0</v>
      </c>
      <c r="S54" s="63">
        <v>8298.92</v>
      </c>
      <c r="T54" s="72">
        <v>28.815694444444446</v>
      </c>
    </row>
    <row r="55" spans="2:20" ht="18.5" x14ac:dyDescent="0.45">
      <c r="B55" s="39" t="s">
        <v>7</v>
      </c>
      <c r="C55" s="93" t="s">
        <v>79</v>
      </c>
      <c r="D55" s="146" t="s">
        <v>2</v>
      </c>
      <c r="E55" s="63">
        <v>16330</v>
      </c>
      <c r="F55" s="84">
        <f>E55/288</f>
        <v>56.701388888888886</v>
      </c>
      <c r="G55" s="63">
        <f>156600/10</f>
        <v>15660</v>
      </c>
      <c r="H55" s="142">
        <f>G55/288</f>
        <v>54.375</v>
      </c>
      <c r="I55" s="86">
        <v>9999.1500000000015</v>
      </c>
      <c r="J55" s="86">
        <v>34.71927083333334</v>
      </c>
      <c r="K55" s="63">
        <v>9944.58</v>
      </c>
      <c r="L55" s="72">
        <v>34.529791666666668</v>
      </c>
      <c r="M55" s="86">
        <v>7538.1500000000005</v>
      </c>
      <c r="N55" s="86">
        <v>26.174131944444447</v>
      </c>
      <c r="O55" s="63">
        <v>6922.9000000000005</v>
      </c>
      <c r="P55" s="72">
        <v>24.037847222222226</v>
      </c>
      <c r="Q55" s="86">
        <v>5733.06</v>
      </c>
      <c r="R55" s="86">
        <v>19.906458333333333</v>
      </c>
      <c r="S55" s="63">
        <v>8940.92</v>
      </c>
      <c r="T55" s="72">
        <v>31.044861111111111</v>
      </c>
    </row>
    <row r="56" spans="2:20" ht="18.5" x14ac:dyDescent="0.45">
      <c r="B56" s="39" t="s">
        <v>7</v>
      </c>
      <c r="C56" s="93" t="s">
        <v>59</v>
      </c>
      <c r="D56" s="146" t="s">
        <v>2</v>
      </c>
      <c r="E56" s="63">
        <v>24230</v>
      </c>
      <c r="F56" s="84">
        <f>E56/288</f>
        <v>84.131944444444443</v>
      </c>
      <c r="G56" s="63">
        <f>226800/7</f>
        <v>32400</v>
      </c>
      <c r="H56" s="142">
        <f>G56/288</f>
        <v>112.5</v>
      </c>
      <c r="I56" s="86">
        <v>16149.51</v>
      </c>
      <c r="J56" s="86">
        <v>56.074687500000003</v>
      </c>
      <c r="K56" s="63">
        <v>17295.48</v>
      </c>
      <c r="L56" s="72">
        <v>60.053750000000001</v>
      </c>
      <c r="M56" s="86">
        <v>13999.880000000001</v>
      </c>
      <c r="N56" s="86">
        <v>48.610694444444448</v>
      </c>
      <c r="O56" s="63">
        <v>14512.410000000002</v>
      </c>
      <c r="P56" s="72">
        <v>50.390312500000007</v>
      </c>
      <c r="Q56" s="86">
        <v>10544.85</v>
      </c>
      <c r="R56" s="86">
        <v>36.614062500000003</v>
      </c>
      <c r="S56" s="63">
        <v>14980</v>
      </c>
      <c r="T56" s="72">
        <v>52.013888888888886</v>
      </c>
    </row>
    <row r="57" spans="2:20" ht="18.5" x14ac:dyDescent="0.45">
      <c r="B57" s="39" t="s">
        <v>7</v>
      </c>
      <c r="C57" s="93" t="s">
        <v>60</v>
      </c>
      <c r="D57" s="146" t="s">
        <v>2</v>
      </c>
      <c r="E57" s="63">
        <v>25200</v>
      </c>
      <c r="F57" s="84">
        <f>E57/288</f>
        <v>87.5</v>
      </c>
      <c r="G57" s="63">
        <f>270000/9</f>
        <v>30000</v>
      </c>
      <c r="H57" s="142">
        <f>G57/288</f>
        <v>104.16666666666667</v>
      </c>
      <c r="I57" s="86">
        <v>23063.850000000002</v>
      </c>
      <c r="J57" s="86">
        <v>80.082812500000003</v>
      </c>
      <c r="K57" s="63">
        <v>21781.99</v>
      </c>
      <c r="L57" s="72">
        <v>75.631909722222233</v>
      </c>
      <c r="M57" s="86">
        <v>18613.72</v>
      </c>
      <c r="N57" s="86">
        <v>64.630972222222226</v>
      </c>
      <c r="O57" s="63">
        <v>16072.470000000001</v>
      </c>
      <c r="P57" s="72">
        <v>55.807187500000005</v>
      </c>
      <c r="Q57" s="86">
        <v>17386.43</v>
      </c>
      <c r="R57" s="86">
        <v>60.369548611111114</v>
      </c>
      <c r="S57" s="63">
        <v>16406.310000000001</v>
      </c>
      <c r="T57" s="72">
        <v>56.966354166666669</v>
      </c>
    </row>
    <row r="58" spans="2:20" ht="18.5" x14ac:dyDescent="0.45">
      <c r="B58" s="39" t="s">
        <v>7</v>
      </c>
      <c r="C58" s="93" t="s">
        <v>61</v>
      </c>
      <c r="D58" s="146" t="s">
        <v>2</v>
      </c>
      <c r="E58" s="63">
        <v>24009</v>
      </c>
      <c r="F58" s="84">
        <f>E58/288</f>
        <v>83.364583333333329</v>
      </c>
      <c r="G58" s="63">
        <f>218160/9</f>
        <v>24240</v>
      </c>
      <c r="H58" s="142">
        <f>G58/288</f>
        <v>84.166666666666671</v>
      </c>
      <c r="I58" s="86">
        <v>12868.890000000001</v>
      </c>
      <c r="J58" s="86">
        <v>44.683645833333337</v>
      </c>
      <c r="K58" s="63">
        <v>15173.67</v>
      </c>
      <c r="L58" s="72">
        <v>52.686354166666668</v>
      </c>
      <c r="M58" s="86">
        <v>12716.95</v>
      </c>
      <c r="N58" s="86">
        <v>44.156076388888891</v>
      </c>
      <c r="O58" s="63">
        <v>10572.67</v>
      </c>
      <c r="P58" s="72">
        <v>36.710659722222225</v>
      </c>
      <c r="Q58" s="86">
        <v>10793.09</v>
      </c>
      <c r="R58" s="86">
        <v>37.476006944444443</v>
      </c>
      <c r="S58" s="63">
        <v>12253.640000000001</v>
      </c>
      <c r="T58" s="72">
        <v>42.547361111111115</v>
      </c>
    </row>
    <row r="59" spans="2:20" ht="18.5" x14ac:dyDescent="0.45">
      <c r="B59" s="39" t="s">
        <v>7</v>
      </c>
      <c r="C59" s="93" t="s">
        <v>62</v>
      </c>
      <c r="D59" s="146" t="s">
        <v>2</v>
      </c>
      <c r="E59" s="63">
        <v>22217</v>
      </c>
      <c r="F59" s="84">
        <f>E59/288</f>
        <v>77.142361111111114</v>
      </c>
      <c r="G59" s="63">
        <f>266760/11</f>
        <v>24250.909090909092</v>
      </c>
      <c r="H59" s="142">
        <f>G59/288</f>
        <v>84.204545454545453</v>
      </c>
      <c r="I59" s="86">
        <v>14117.58</v>
      </c>
      <c r="J59" s="86">
        <v>49.019374999999997</v>
      </c>
      <c r="K59" s="63">
        <v>15432.61</v>
      </c>
      <c r="L59" s="72">
        <v>53.585451388888892</v>
      </c>
      <c r="M59" s="86">
        <v>12183.02</v>
      </c>
      <c r="N59" s="86">
        <v>42.302152777777778</v>
      </c>
      <c r="O59" s="63">
        <v>10746.01</v>
      </c>
      <c r="P59" s="72">
        <v>37.312534722222225</v>
      </c>
      <c r="Q59" s="86">
        <v>9983.1</v>
      </c>
      <c r="R59" s="86">
        <v>34.663541666666667</v>
      </c>
      <c r="S59" s="63">
        <v>11948.69</v>
      </c>
      <c r="T59" s="72">
        <v>41.488506944444445</v>
      </c>
    </row>
    <row r="60" spans="2:20" ht="18.5" x14ac:dyDescent="0.45">
      <c r="B60" s="96" t="s">
        <v>85</v>
      </c>
      <c r="C60" s="97" t="s">
        <v>87</v>
      </c>
      <c r="D60" s="96" t="s">
        <v>88</v>
      </c>
      <c r="E60" s="98">
        <v>6255</v>
      </c>
      <c r="F60" s="99">
        <f>E60/288</f>
        <v>21.71875</v>
      </c>
      <c r="G60" s="98">
        <f>28512/6</f>
        <v>4752</v>
      </c>
      <c r="H60" s="100">
        <f>G60/288</f>
        <v>16.5</v>
      </c>
      <c r="I60" s="101">
        <v>1500</v>
      </c>
      <c r="J60" s="99">
        <f>I60/288</f>
        <v>5.208333333333333</v>
      </c>
      <c r="K60" s="98">
        <v>1025</v>
      </c>
      <c r="L60" s="100">
        <f>K60/288</f>
        <v>3.5590277777777777</v>
      </c>
      <c r="M60" s="101">
        <v>675</v>
      </c>
      <c r="N60" s="99">
        <f>M60/288</f>
        <v>2.34375</v>
      </c>
      <c r="O60" s="102">
        <v>0</v>
      </c>
      <c r="P60" s="100">
        <f>O60/288</f>
        <v>0</v>
      </c>
      <c r="Q60" s="99">
        <v>0</v>
      </c>
      <c r="R60" s="99">
        <f>Q60/288</f>
        <v>0</v>
      </c>
      <c r="S60" s="102">
        <f>R60/288</f>
        <v>0</v>
      </c>
      <c r="T60" s="100">
        <f>S60/288</f>
        <v>0</v>
      </c>
    </row>
    <row r="61" spans="2:20" ht="19" thickBot="1" x14ac:dyDescent="0.5">
      <c r="B61" s="103" t="s">
        <v>85</v>
      </c>
      <c r="C61" s="104" t="s">
        <v>86</v>
      </c>
      <c r="D61" s="103" t="s">
        <v>88</v>
      </c>
      <c r="E61" s="105">
        <v>12528</v>
      </c>
      <c r="F61" s="106">
        <f>E61/288</f>
        <v>43.5</v>
      </c>
      <c r="G61" s="105">
        <v>21600</v>
      </c>
      <c r="H61" s="107">
        <f>G61/288</f>
        <v>75</v>
      </c>
      <c r="I61" s="108">
        <v>2500</v>
      </c>
      <c r="J61" s="106">
        <f>I61/288</f>
        <v>8.6805555555555554</v>
      </c>
      <c r="K61" s="105">
        <v>1500</v>
      </c>
      <c r="L61" s="107">
        <f>K61/288</f>
        <v>5.208333333333333</v>
      </c>
      <c r="M61" s="108">
        <v>2400</v>
      </c>
      <c r="N61" s="106">
        <f>M61/288</f>
        <v>8.3333333333333339</v>
      </c>
      <c r="O61" s="109">
        <v>0</v>
      </c>
      <c r="P61" s="107">
        <f>O61/288</f>
        <v>0</v>
      </c>
      <c r="Q61" s="106">
        <f>P61/288</f>
        <v>0</v>
      </c>
      <c r="R61" s="106">
        <f>Q61/288</f>
        <v>0</v>
      </c>
      <c r="S61" s="109">
        <f>R61/288</f>
        <v>0</v>
      </c>
      <c r="T61" s="107">
        <f>S61/288</f>
        <v>0</v>
      </c>
    </row>
    <row r="62" spans="2:20" ht="18.5" x14ac:dyDescent="0.45">
      <c r="B62" s="179"/>
      <c r="C62" s="180"/>
    </row>
    <row r="63" spans="2:20" ht="18.5" x14ac:dyDescent="0.45">
      <c r="B63" s="67"/>
    </row>
    <row r="64" spans="2:20" x14ac:dyDescent="0.35">
      <c r="C64" s="46"/>
    </row>
  </sheetData>
  <autoFilter ref="B7:T61" xr:uid="{4C87CAB4-CA4F-4960-82E6-AF8EDB41B06C}">
    <sortState xmlns:xlrd2="http://schemas.microsoft.com/office/spreadsheetml/2017/richdata2" ref="B9:T51">
      <sortCondition ref="C7:C61"/>
    </sortState>
  </autoFilter>
  <mergeCells count="12">
    <mergeCell ref="Q5:R5"/>
    <mergeCell ref="S5:T5"/>
    <mergeCell ref="B5:C5"/>
    <mergeCell ref="B62:C62"/>
    <mergeCell ref="O1:P1"/>
    <mergeCell ref="I5:J5"/>
    <mergeCell ref="G6:H6"/>
    <mergeCell ref="K5:L5"/>
    <mergeCell ref="M5:N5"/>
    <mergeCell ref="O5:P5"/>
    <mergeCell ref="G5:H5"/>
    <mergeCell ref="E5:F5"/>
  </mergeCells>
  <conditionalFormatting sqref="I65:J1048576 I1:J2 I4:J6 I62:J63 I60:I61 I30:J59 I8:J28">
    <cfRule type="dataBar" priority="21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{3C2B9D33-9340-9F42-B322-4D18B482638D}</x14:id>
        </ext>
      </extLst>
    </cfRule>
  </conditionalFormatting>
  <conditionalFormatting sqref="K65:T1048576 S1:T2 K1:N2 O2:R2 K7 K4:T4 S7 K5 M5 O5 Q5 K6:T6 S5 K62:T63 K60:K61 M60:M61 K30:T59 K8:T28">
    <cfRule type="dataBar" priority="20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{C8FC5AB9-3E64-2244-B1E4-AB70513141BD}</x14:id>
        </ext>
      </extLst>
    </cfRule>
  </conditionalFormatting>
  <conditionalFormatting sqref="G7 E7">
    <cfRule type="dataBar" priority="15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{0D907A90-5B5E-4870-BBFE-C06D3574CCF2}</x14:id>
        </ext>
      </extLst>
    </cfRule>
  </conditionalFormatting>
  <conditionalFormatting sqref="E8:E61 G8:G25 H10:T10">
    <cfRule type="dataBar" priority="10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{8BE34E91-8805-4C4C-9267-A7FBA33689E0}</x14:id>
        </ext>
      </extLst>
    </cfRule>
    <cfRule type="dataBar" priority="1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{1FF536F8-6442-4E9E-A2B8-6BEF99C6F975}</x14:id>
        </ext>
      </extLst>
    </cfRule>
    <cfRule type="dataBar" priority="12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{D97A693F-7E2C-4E2E-B075-F24ACCDEF4D1}</x14:id>
        </ext>
      </extLst>
    </cfRule>
    <cfRule type="dataBar" priority="13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{AE6C63BD-B7FD-455E-B150-E9B1AAA139E4}</x14:id>
        </ext>
      </extLst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{1E6CB81B-1F97-43C5-B9E2-25643673D190}</x14:id>
        </ext>
      </extLst>
    </cfRule>
  </conditionalFormatting>
  <conditionalFormatting sqref="I7">
    <cfRule type="dataBar" priority="4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{5DA72437-10A2-4582-AD0A-FF466804A2AD}</x14:id>
        </ext>
      </extLst>
    </cfRule>
  </conditionalFormatting>
  <conditionalFormatting sqref="M7">
    <cfRule type="dataBar" priority="3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{CDA36822-E091-4087-B6D9-44899288888A}</x14:id>
        </ext>
      </extLst>
    </cfRule>
  </conditionalFormatting>
  <conditionalFormatting sqref="O7">
    <cfRule type="dataBar" priority="2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{B3CDBA91-5107-4475-B924-71EE20BCB5F0}</x14:id>
        </ext>
      </extLst>
    </cfRule>
  </conditionalFormatting>
  <conditionalFormatting sqref="Q7">
    <cfRule type="dataBar" priority="1">
      <dataBar>
        <cfvo type="min"/>
        <cfvo type="max"/>
        <color rgb="FFE5EEF0"/>
      </dataBar>
      <extLst>
        <ext xmlns:x14="http://schemas.microsoft.com/office/spreadsheetml/2009/9/main" uri="{B025F937-C7B1-47D3-B67F-A62EFF666E3E}">
          <x14:id>{D45C7C3D-C525-4FB6-AFBD-D76AAF0958A5}</x14:id>
        </ext>
      </extLst>
    </cfRule>
  </conditionalFormatting>
  <conditionalFormatting sqref="I60:I61 K60:K61 M60:M61 I30:T59 I8:T28">
    <cfRule type="dataBar" priority="252">
      <dataBar>
        <cfvo type="min"/>
        <cfvo type="max"/>
        <color rgb="FFF9EEEE"/>
      </dataBar>
      <extLst>
        <ext xmlns:x14="http://schemas.microsoft.com/office/spreadsheetml/2009/9/main" uri="{B025F937-C7B1-47D3-B67F-A62EFF666E3E}">
          <x14:id>{8C649639-FBE2-0E4C-A25C-E7A1295FBC4E}</x14:id>
        </ext>
      </extLst>
    </cfRule>
  </conditionalFormatting>
  <conditionalFormatting sqref="G26:G61 H29:T29">
    <cfRule type="dataBar" priority="274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{24ED973B-62B5-4B4F-A88A-06B7AC46E4BF}</x14:id>
        </ext>
      </extLst>
    </cfRule>
    <cfRule type="dataBar" priority="2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{4955FD66-7875-4F2B-9E4E-43A6D78BBAE6}</x14:id>
        </ext>
      </extLst>
    </cfRule>
  </conditionalFormatting>
  <conditionalFormatting sqref="I60:I61 K60:K61 M60:M61 I30:T59 I8:T28">
    <cfRule type="dataBar" priority="2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{6E8689D0-4D1C-374C-BB36-4289EF1C1B98}</x14:id>
        </ext>
      </extLst>
    </cfRule>
  </conditionalFormatting>
  <conditionalFormatting sqref="I60:I61 K60:K61 M60:M61 I30:T59 I11:T28 E11:F61 G11:H25 E8:T10">
    <cfRule type="dataBar" priority="280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{DF1E6EE8-24E3-4DEB-A7C3-F4217C540B56}</x14:id>
        </ext>
      </extLst>
    </cfRule>
    <cfRule type="dataBar" priority="281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{B6528E74-5F70-4CED-8281-9460016191BA}</x14:id>
        </ext>
      </extLst>
    </cfRule>
  </conditionalFormatting>
  <conditionalFormatting sqref="J60:J61 L60:L61 N60:T61 G26:H28 G30:H61 G29:T29">
    <cfRule type="dataBar" priority="286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{EF7E49D6-0245-4071-B50F-ED3F4450051A}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2B9D33-9340-9F42-B322-4D18B48263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I65:J1048576 I1:J2 I4:J6 I62:J63 I60:I61 I30:J59 I8:J28</xm:sqref>
        </x14:conditionalFormatting>
        <x14:conditionalFormatting xmlns:xm="http://schemas.microsoft.com/office/excel/2006/main">
          <x14:cfRule type="dataBar" id="{C8FC5AB9-3E64-2244-B1E4-AB7051314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K65:T1048576 S1:T2 K1:N2 O2:R2 K7 K4:T4 S7 K5 M5 O5 Q5 K6:T6 S5 K62:T63 K60:K61 M60:M61 K30:T59 K8:T28</xm:sqref>
        </x14:conditionalFormatting>
        <x14:conditionalFormatting xmlns:xm="http://schemas.microsoft.com/office/excel/2006/main">
          <x14:cfRule type="dataBar" id="{0D907A90-5B5E-4870-BBFE-C06D3574CC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 E7</xm:sqref>
        </x14:conditionalFormatting>
        <x14:conditionalFormatting xmlns:xm="http://schemas.microsoft.com/office/excel/2006/main">
          <x14:cfRule type="dataBar" id="{8BE34E91-8805-4C4C-9267-A7FBA33689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F536F8-6442-4E9E-A2B8-6BEF99C6F9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97A693F-7E2C-4E2E-B075-F24ACCDEF4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E6C63BD-B7FD-455E-B150-E9B1AAA139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6CB81B-1F97-43C5-B9E2-25643673D1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E8:E61 G8:G25 H10:T10</xm:sqref>
        </x14:conditionalFormatting>
        <x14:conditionalFormatting xmlns:xm="http://schemas.microsoft.com/office/excel/2006/main">
          <x14:cfRule type="dataBar" id="{5DA72437-10A2-4582-AD0A-FF466804A2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CDA36822-E091-4087-B6D9-4489928888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M7</xm:sqref>
        </x14:conditionalFormatting>
        <x14:conditionalFormatting xmlns:xm="http://schemas.microsoft.com/office/excel/2006/main">
          <x14:cfRule type="dataBar" id="{B3CDBA91-5107-4475-B924-71EE20BCB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O7</xm:sqref>
        </x14:conditionalFormatting>
        <x14:conditionalFormatting xmlns:xm="http://schemas.microsoft.com/office/excel/2006/main">
          <x14:cfRule type="dataBar" id="{D45C7C3D-C525-4FB6-AFBD-D76AAF0958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Q7</xm:sqref>
        </x14:conditionalFormatting>
        <x14:conditionalFormatting xmlns:xm="http://schemas.microsoft.com/office/excel/2006/main">
          <x14:cfRule type="dataBar" id="{8C649639-FBE2-0E4C-A25C-E7A1295FBC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I60:I61 K60:K61 M60:M61 I30:T59 I8:T28</xm:sqref>
        </x14:conditionalFormatting>
        <x14:conditionalFormatting xmlns:xm="http://schemas.microsoft.com/office/excel/2006/main">
          <x14:cfRule type="dataBar" id="{24ED973B-62B5-4B4F-A88A-06B7AC46E4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955FD66-7875-4F2B-9E4E-43A6D78BBA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G26:G61 H29:T29</xm:sqref>
        </x14:conditionalFormatting>
        <x14:conditionalFormatting xmlns:xm="http://schemas.microsoft.com/office/excel/2006/main">
          <x14:cfRule type="dataBar" id="{6E8689D0-4D1C-374C-BB36-4289EF1C1B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I60:I61 K60:K61 M60:M61 I30:T59 I8:T28</xm:sqref>
        </x14:conditionalFormatting>
        <x14:conditionalFormatting xmlns:xm="http://schemas.microsoft.com/office/excel/2006/main">
          <x14:cfRule type="dataBar" id="{DF1E6EE8-24E3-4DEB-A7C3-F4217C540B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6528E74-5F70-4CED-8281-9460016191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I60:I61 K60:K61 M60:M61 I30:T59 I11:T28 E11:F61 G11:H25 E8:T10</xm:sqref>
        </x14:conditionalFormatting>
        <x14:conditionalFormatting xmlns:xm="http://schemas.microsoft.com/office/excel/2006/main">
          <x14:cfRule type="dataBar" id="{EF7E49D6-0245-4071-B50F-ED3F44500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J60:J61 L60:L61 N60:T61 G26:H28 G30:H61 G29:T29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4C24-EE7A-47D1-A63C-E08E192C1E6E}">
  <dimension ref="C2:V42"/>
  <sheetViews>
    <sheetView showGridLines="0" zoomScale="62" zoomScaleNormal="62" workbookViewId="0">
      <selection activeCell="E42" sqref="E42"/>
    </sheetView>
  </sheetViews>
  <sheetFormatPr defaultColWidth="8.7265625" defaultRowHeight="14.5" x14ac:dyDescent="0.35"/>
  <cols>
    <col min="1" max="2" width="2.7265625" style="3" customWidth="1"/>
    <col min="3" max="3" width="76.54296875" style="3" customWidth="1"/>
    <col min="4" max="4" width="20.81640625" style="3" bestFit="1" customWidth="1"/>
    <col min="5" max="5" width="27.36328125" style="3" bestFit="1" customWidth="1"/>
    <col min="6" max="6" width="17.7265625" style="3" bestFit="1" customWidth="1"/>
    <col min="7" max="7" width="14.54296875" style="3" customWidth="1"/>
    <col min="8" max="8" width="13.36328125" style="3" customWidth="1"/>
    <col min="9" max="9" width="13.7265625" style="53" customWidth="1"/>
    <col min="10" max="10" width="13.7265625" style="54" customWidth="1"/>
    <col min="11" max="11" width="13.7265625" style="2" customWidth="1"/>
    <col min="12" max="12" width="14.7265625" style="3" customWidth="1"/>
    <col min="13" max="13" width="13.7265625" style="2" customWidth="1"/>
    <col min="14" max="14" width="14.7265625" style="3" customWidth="1"/>
    <col min="15" max="15" width="13.7265625" style="2" customWidth="1"/>
    <col min="16" max="16" width="14.7265625" style="3" customWidth="1"/>
    <col min="17" max="17" width="13.7265625" style="2" customWidth="1"/>
    <col min="18" max="18" width="14.7265625" style="3" customWidth="1"/>
    <col min="19" max="19" width="13.7265625" style="2" customWidth="1"/>
    <col min="20" max="20" width="14.7265625" style="3" customWidth="1"/>
    <col min="21" max="21" width="13.7265625" style="2" customWidth="1"/>
    <col min="22" max="22" width="14.7265625" style="3" customWidth="1"/>
    <col min="23" max="16384" width="8.7265625" style="3"/>
  </cols>
  <sheetData>
    <row r="2" spans="3:22" ht="54" customHeight="1" thickBot="1" x14ac:dyDescent="0.65">
      <c r="D2" s="4"/>
      <c r="E2" s="4"/>
      <c r="F2" s="4"/>
      <c r="G2" s="4"/>
      <c r="H2" s="4"/>
      <c r="I2" s="50"/>
      <c r="J2" s="51"/>
      <c r="K2" s="6"/>
      <c r="L2" s="4"/>
      <c r="M2" s="6"/>
      <c r="N2" s="4"/>
      <c r="O2" s="6"/>
      <c r="P2" s="4"/>
      <c r="Q2" s="6"/>
      <c r="R2" s="4"/>
      <c r="S2" s="6"/>
      <c r="T2" s="4"/>
      <c r="U2" s="6"/>
      <c r="V2" s="4"/>
    </row>
    <row r="3" spans="3:22" s="12" customFormat="1" ht="19" thickBot="1" x14ac:dyDescent="0.4">
      <c r="C3" s="188" t="s">
        <v>83</v>
      </c>
      <c r="D3" s="189"/>
      <c r="E3" s="189"/>
      <c r="F3" s="76"/>
      <c r="G3" s="186">
        <v>2022</v>
      </c>
      <c r="H3" s="192"/>
      <c r="I3" s="190">
        <v>2021</v>
      </c>
      <c r="J3" s="191"/>
      <c r="K3" s="187">
        <v>2020</v>
      </c>
      <c r="L3" s="176"/>
      <c r="M3" s="186">
        <v>2019</v>
      </c>
      <c r="N3" s="176"/>
      <c r="O3" s="186">
        <v>2018</v>
      </c>
      <c r="P3" s="176"/>
      <c r="Q3" s="186">
        <v>2017</v>
      </c>
      <c r="R3" s="176"/>
      <c r="S3" s="186">
        <v>2016</v>
      </c>
      <c r="T3" s="176"/>
      <c r="U3" s="186">
        <v>2015</v>
      </c>
      <c r="V3" s="176"/>
    </row>
    <row r="4" spans="3:22" s="12" customFormat="1" ht="19" thickBot="1" x14ac:dyDescent="0.4">
      <c r="C4" s="13"/>
      <c r="D4" s="11"/>
      <c r="E4" s="11"/>
      <c r="F4" s="11"/>
      <c r="G4" s="11"/>
      <c r="H4" s="11"/>
      <c r="I4" s="79"/>
      <c r="J4" s="52"/>
      <c r="K4" s="7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</row>
    <row r="5" spans="3:22" s="9" customFormat="1" ht="19" thickBot="1" x14ac:dyDescent="0.4">
      <c r="C5" s="29" t="s">
        <v>5</v>
      </c>
      <c r="D5" s="30" t="s">
        <v>28</v>
      </c>
      <c r="E5" s="30" t="s">
        <v>4</v>
      </c>
      <c r="F5" s="30" t="s">
        <v>29</v>
      </c>
      <c r="G5" s="30"/>
      <c r="H5" s="30"/>
      <c r="I5" s="135" t="s">
        <v>1</v>
      </c>
      <c r="J5" s="80" t="s">
        <v>3</v>
      </c>
      <c r="K5" s="32" t="s">
        <v>1</v>
      </c>
      <c r="L5" s="33" t="s">
        <v>3</v>
      </c>
      <c r="M5" s="32" t="s">
        <v>1</v>
      </c>
      <c r="N5" s="33" t="s">
        <v>3</v>
      </c>
      <c r="O5" s="32" t="s">
        <v>1</v>
      </c>
      <c r="P5" s="33" t="s">
        <v>3</v>
      </c>
      <c r="Q5" s="32" t="s">
        <v>1</v>
      </c>
      <c r="R5" s="33" t="s">
        <v>3</v>
      </c>
      <c r="S5" s="32" t="s">
        <v>1</v>
      </c>
      <c r="T5" s="33" t="s">
        <v>3</v>
      </c>
      <c r="U5" s="32" t="s">
        <v>1</v>
      </c>
      <c r="V5" s="34" t="s">
        <v>3</v>
      </c>
    </row>
    <row r="6" spans="3:22" ht="18.5" x14ac:dyDescent="0.45">
      <c r="C6" s="47" t="s">
        <v>64</v>
      </c>
      <c r="D6" s="27" t="s">
        <v>11</v>
      </c>
      <c r="E6" s="27" t="s">
        <v>14</v>
      </c>
      <c r="F6" s="47" t="s">
        <v>2</v>
      </c>
      <c r="G6" s="159">
        <v>15737</v>
      </c>
      <c r="H6" s="160">
        <v>54.642361111111114</v>
      </c>
      <c r="I6" s="136">
        <v>13770</v>
      </c>
      <c r="J6" s="64">
        <v>47.8125</v>
      </c>
      <c r="K6" s="77">
        <v>9309</v>
      </c>
      <c r="L6" s="56">
        <v>32.322916666666664</v>
      </c>
      <c r="M6" s="55">
        <v>11384.800000000001</v>
      </c>
      <c r="N6" s="56">
        <v>39.530555555555559</v>
      </c>
      <c r="O6" s="55">
        <v>7668.6900000000005</v>
      </c>
      <c r="P6" s="56">
        <v>26.627395833333335</v>
      </c>
      <c r="Q6" s="55">
        <v>6955</v>
      </c>
      <c r="R6" s="56">
        <v>24.149305555555557</v>
      </c>
      <c r="S6" s="55">
        <v>10165</v>
      </c>
      <c r="T6" s="56">
        <v>35.295138888888886</v>
      </c>
      <c r="U6" s="55">
        <v>11081.99</v>
      </c>
      <c r="V6" s="56">
        <v>38.479131944444447</v>
      </c>
    </row>
    <row r="7" spans="3:22" ht="18.5" x14ac:dyDescent="0.45">
      <c r="C7" s="27" t="s">
        <v>31</v>
      </c>
      <c r="D7" s="27" t="s">
        <v>11</v>
      </c>
      <c r="E7" s="27" t="s">
        <v>15</v>
      </c>
      <c r="F7" s="27" t="s">
        <v>2</v>
      </c>
      <c r="G7" s="114">
        <v>22929</v>
      </c>
      <c r="H7" s="116">
        <v>79.614583333333329</v>
      </c>
      <c r="I7" s="136">
        <v>21240</v>
      </c>
      <c r="J7" s="64">
        <v>73.75</v>
      </c>
      <c r="K7" s="77">
        <v>13214.5</v>
      </c>
      <c r="L7" s="56">
        <v>45.883680555555557</v>
      </c>
      <c r="M7" s="55">
        <v>13708.84</v>
      </c>
      <c r="N7" s="56">
        <v>47.600138888888893</v>
      </c>
      <c r="O7" s="55">
        <v>11349.49</v>
      </c>
      <c r="P7" s="56">
        <v>39.40795138888889</v>
      </c>
      <c r="Q7" s="55">
        <v>8980.51</v>
      </c>
      <c r="R7" s="56">
        <v>31.182326388888889</v>
      </c>
      <c r="S7" s="55">
        <v>11844.900000000001</v>
      </c>
      <c r="T7" s="56">
        <v>41.128125000000004</v>
      </c>
      <c r="U7" s="55">
        <v>12773.66</v>
      </c>
      <c r="V7" s="56">
        <v>44.352986111111107</v>
      </c>
    </row>
    <row r="8" spans="3:22" ht="18.5" x14ac:dyDescent="0.45">
      <c r="C8" s="27" t="s">
        <v>66</v>
      </c>
      <c r="D8" s="27" t="s">
        <v>11</v>
      </c>
      <c r="E8" s="27" t="s">
        <v>15</v>
      </c>
      <c r="F8" s="27" t="s">
        <v>2</v>
      </c>
      <c r="G8" s="114">
        <v>16470</v>
      </c>
      <c r="H8" s="116">
        <v>57.1875</v>
      </c>
      <c r="I8" s="136">
        <v>17280</v>
      </c>
      <c r="J8" s="64">
        <v>60</v>
      </c>
      <c r="K8" s="77">
        <v>12292.16</v>
      </c>
      <c r="L8" s="56">
        <v>42.681111111111107</v>
      </c>
      <c r="M8" s="55">
        <v>12762.960000000001</v>
      </c>
      <c r="N8" s="56">
        <v>44.315833333333337</v>
      </c>
      <c r="O8" s="55">
        <v>8862.8100000000013</v>
      </c>
      <c r="P8" s="56">
        <v>30.773645833333337</v>
      </c>
      <c r="Q8" s="55">
        <v>7511.4000000000005</v>
      </c>
      <c r="R8" s="56">
        <v>26.081250000000001</v>
      </c>
      <c r="S8" s="55">
        <v>5440.9500000000007</v>
      </c>
      <c r="T8" s="56">
        <v>18.892187500000002</v>
      </c>
      <c r="U8" s="55">
        <v>11159.03</v>
      </c>
      <c r="V8" s="56">
        <v>38.746631944444445</v>
      </c>
    </row>
    <row r="9" spans="3:22" ht="18.5" x14ac:dyDescent="0.45">
      <c r="C9" s="27" t="s">
        <v>32</v>
      </c>
      <c r="D9" s="27" t="s">
        <v>11</v>
      </c>
      <c r="E9" s="27" t="s">
        <v>15</v>
      </c>
      <c r="F9" s="27" t="s">
        <v>2</v>
      </c>
      <c r="G9" s="114">
        <v>17778</v>
      </c>
      <c r="H9" s="116">
        <v>61.729166666666664</v>
      </c>
      <c r="I9" s="136">
        <v>17145</v>
      </c>
      <c r="J9" s="64">
        <v>59.53125</v>
      </c>
      <c r="K9" s="77">
        <v>11556</v>
      </c>
      <c r="L9" s="56">
        <v>40.125</v>
      </c>
      <c r="M9" s="55">
        <v>11575.26</v>
      </c>
      <c r="N9" s="56">
        <v>40.191875000000003</v>
      </c>
      <c r="O9" s="55">
        <v>9509.09</v>
      </c>
      <c r="P9" s="56">
        <v>33.017673611111114</v>
      </c>
      <c r="Q9" s="55">
        <v>7918.0000000000009</v>
      </c>
      <c r="R9" s="56">
        <v>27.493055555555557</v>
      </c>
      <c r="S9" s="55">
        <v>9126.0300000000007</v>
      </c>
      <c r="T9" s="56">
        <v>31.68760416666667</v>
      </c>
      <c r="U9" s="55">
        <v>12067.460000000001</v>
      </c>
      <c r="V9" s="56">
        <v>41.90090277777778</v>
      </c>
    </row>
    <row r="10" spans="3:22" ht="18.5" x14ac:dyDescent="0.45">
      <c r="C10" s="27" t="s">
        <v>33</v>
      </c>
      <c r="D10" s="27" t="s">
        <v>11</v>
      </c>
      <c r="E10" s="27" t="s">
        <v>15</v>
      </c>
      <c r="F10" s="27" t="s">
        <v>2</v>
      </c>
      <c r="G10" s="114">
        <v>22116</v>
      </c>
      <c r="H10" s="116">
        <v>76.791666666666671</v>
      </c>
      <c r="I10" s="136">
        <v>18120</v>
      </c>
      <c r="J10" s="64">
        <v>62.916666666666664</v>
      </c>
      <c r="K10" s="77">
        <v>13167.42</v>
      </c>
      <c r="L10" s="56">
        <v>45.720208333333332</v>
      </c>
      <c r="M10" s="55">
        <v>13970.990000000002</v>
      </c>
      <c r="N10" s="56">
        <v>48.510381944444447</v>
      </c>
      <c r="O10" s="55">
        <v>10722.470000000001</v>
      </c>
      <c r="P10" s="56">
        <v>37.230798611111112</v>
      </c>
      <c r="Q10" s="55">
        <v>11235</v>
      </c>
      <c r="R10" s="56">
        <v>39.010416666666664</v>
      </c>
      <c r="S10" s="55">
        <v>8276.4500000000007</v>
      </c>
      <c r="T10" s="56">
        <v>28.737673611111113</v>
      </c>
      <c r="U10" s="55">
        <v>12084.58</v>
      </c>
      <c r="V10" s="56">
        <v>41.960347222222225</v>
      </c>
    </row>
    <row r="11" spans="3:22" ht="18.5" x14ac:dyDescent="0.45">
      <c r="C11" s="27" t="s">
        <v>34</v>
      </c>
      <c r="D11" s="27" t="s">
        <v>11</v>
      </c>
      <c r="E11" s="27" t="s">
        <v>15</v>
      </c>
      <c r="F11" s="27" t="s">
        <v>2</v>
      </c>
      <c r="G11" s="114">
        <v>19008</v>
      </c>
      <c r="H11" s="116">
        <v>66</v>
      </c>
      <c r="I11" s="136">
        <v>18630</v>
      </c>
      <c r="J11" s="64">
        <v>64.6875</v>
      </c>
      <c r="K11" s="77">
        <v>10355.460000000001</v>
      </c>
      <c r="L11" s="56">
        <v>35.956458333333337</v>
      </c>
      <c r="M11" s="55">
        <v>12042.85</v>
      </c>
      <c r="N11" s="56">
        <v>41.815451388888889</v>
      </c>
      <c r="O11" s="55">
        <v>9730.58</v>
      </c>
      <c r="P11" s="56">
        <v>33.786736111111111</v>
      </c>
      <c r="Q11" s="55">
        <v>9831.16</v>
      </c>
      <c r="R11" s="56">
        <v>34.135972222222222</v>
      </c>
      <c r="S11" s="55">
        <v>10508.470000000001</v>
      </c>
      <c r="T11" s="56">
        <v>36.487743055555562</v>
      </c>
      <c r="U11" s="55">
        <v>11291.710000000001</v>
      </c>
      <c r="V11" s="56">
        <v>39.207326388888895</v>
      </c>
    </row>
    <row r="12" spans="3:22" ht="18.5" x14ac:dyDescent="0.45">
      <c r="C12" s="27" t="s">
        <v>35</v>
      </c>
      <c r="D12" s="27" t="s">
        <v>11</v>
      </c>
      <c r="E12" s="27" t="s">
        <v>15</v>
      </c>
      <c r="F12" s="27" t="s">
        <v>2</v>
      </c>
      <c r="G12" s="114">
        <v>21672</v>
      </c>
      <c r="H12" s="116">
        <v>75.25</v>
      </c>
      <c r="I12" s="136">
        <v>19800</v>
      </c>
      <c r="J12" s="64">
        <v>68.75</v>
      </c>
      <c r="K12" s="77">
        <v>9309</v>
      </c>
      <c r="L12" s="56">
        <v>32.322916666666664</v>
      </c>
      <c r="M12" s="55">
        <v>13668.18</v>
      </c>
      <c r="N12" s="56">
        <v>47.458958333333335</v>
      </c>
      <c r="O12" s="55">
        <v>12305</v>
      </c>
      <c r="P12" s="56">
        <v>42.725694444444443</v>
      </c>
      <c r="Q12" s="55">
        <v>10132.900000000001</v>
      </c>
      <c r="R12" s="56">
        <v>35.183680555555561</v>
      </c>
      <c r="S12" s="55">
        <v>10196.030000000001</v>
      </c>
      <c r="T12" s="56">
        <v>35.402881944444445</v>
      </c>
      <c r="U12" s="55">
        <v>12367.060000000001</v>
      </c>
      <c r="V12" s="56">
        <v>42.941180555555562</v>
      </c>
    </row>
    <row r="13" spans="3:22" ht="18.5" x14ac:dyDescent="0.45">
      <c r="C13" s="27" t="s">
        <v>36</v>
      </c>
      <c r="D13" s="27" t="s">
        <v>11</v>
      </c>
      <c r="E13" s="27" t="s">
        <v>15</v>
      </c>
      <c r="F13" s="27" t="s">
        <v>2</v>
      </c>
      <c r="G13" s="114">
        <v>17352</v>
      </c>
      <c r="H13" s="116">
        <v>60.25</v>
      </c>
      <c r="I13" s="136">
        <v>17280</v>
      </c>
      <c r="J13" s="64">
        <v>60</v>
      </c>
      <c r="K13" s="77">
        <v>11149.400000000001</v>
      </c>
      <c r="L13" s="56">
        <v>38.713194444444447</v>
      </c>
      <c r="M13" s="55">
        <v>10878.69</v>
      </c>
      <c r="N13" s="56">
        <v>37.773229166666667</v>
      </c>
      <c r="O13" s="55">
        <v>7788.5300000000007</v>
      </c>
      <c r="P13" s="56">
        <v>27.043506944444445</v>
      </c>
      <c r="Q13" s="55">
        <v>8317.11</v>
      </c>
      <c r="R13" s="56">
        <v>28.87885416666667</v>
      </c>
      <c r="S13" s="55">
        <v>5861.46</v>
      </c>
      <c r="T13" s="56">
        <v>20.352291666666666</v>
      </c>
      <c r="U13" s="55">
        <v>10307.310000000001</v>
      </c>
      <c r="V13" s="56">
        <v>35.78927083333334</v>
      </c>
    </row>
    <row r="14" spans="3:22" ht="18.5" x14ac:dyDescent="0.45">
      <c r="C14" s="27" t="s">
        <v>37</v>
      </c>
      <c r="D14" s="27" t="s">
        <v>11</v>
      </c>
      <c r="E14" s="27" t="s">
        <v>15</v>
      </c>
      <c r="F14" s="27" t="s">
        <v>2</v>
      </c>
      <c r="G14" s="114">
        <v>21010</v>
      </c>
      <c r="H14" s="116">
        <v>72.951388888888886</v>
      </c>
      <c r="I14" s="136">
        <v>16449.23076923077</v>
      </c>
      <c r="J14" s="64">
        <v>57.115384615384613</v>
      </c>
      <c r="K14" s="77">
        <v>11894.12</v>
      </c>
      <c r="L14" s="56">
        <v>41.299027777777781</v>
      </c>
      <c r="M14" s="55">
        <v>11484.310000000001</v>
      </c>
      <c r="N14" s="56">
        <v>39.87607638888889</v>
      </c>
      <c r="O14" s="55">
        <v>9323.9800000000014</v>
      </c>
      <c r="P14" s="56">
        <v>32.374930555555558</v>
      </c>
      <c r="Q14" s="55">
        <v>11444.720000000001</v>
      </c>
      <c r="R14" s="56">
        <v>39.738611111111112</v>
      </c>
      <c r="S14" s="55">
        <v>8113.81</v>
      </c>
      <c r="T14" s="56">
        <v>28.17295138888889</v>
      </c>
      <c r="U14" s="55">
        <v>11971.16</v>
      </c>
      <c r="V14" s="56">
        <v>41.566527777777779</v>
      </c>
    </row>
    <row r="15" spans="3:22" ht="18.5" x14ac:dyDescent="0.45">
      <c r="C15" s="27" t="s">
        <v>38</v>
      </c>
      <c r="D15" s="27" t="s">
        <v>11</v>
      </c>
      <c r="E15" s="27" t="s">
        <v>15</v>
      </c>
      <c r="F15" s="27" t="s">
        <v>2</v>
      </c>
      <c r="G15" s="114">
        <v>23400</v>
      </c>
      <c r="H15" s="116">
        <v>81.25</v>
      </c>
      <c r="I15" s="136">
        <v>23976</v>
      </c>
      <c r="J15" s="64">
        <v>83.25</v>
      </c>
      <c r="K15" s="77">
        <v>14766</v>
      </c>
      <c r="L15" s="56">
        <v>51.270833333333336</v>
      </c>
      <c r="M15" s="55">
        <v>15358.78</v>
      </c>
      <c r="N15" s="56">
        <v>53.329097222222224</v>
      </c>
      <c r="O15" s="55">
        <v>12226.890000000001</v>
      </c>
      <c r="P15" s="56">
        <v>42.454479166666673</v>
      </c>
      <c r="Q15" s="55">
        <v>9323.9800000000014</v>
      </c>
      <c r="R15" s="56">
        <v>32.374930555555558</v>
      </c>
      <c r="S15" s="55">
        <v>9583.99</v>
      </c>
      <c r="T15" s="56">
        <v>33.277743055555554</v>
      </c>
      <c r="U15" s="55">
        <v>13118.2</v>
      </c>
      <c r="V15" s="56">
        <v>45.549305555555556</v>
      </c>
    </row>
    <row r="16" spans="3:22" ht="18.5" x14ac:dyDescent="0.45">
      <c r="C16" s="27" t="s">
        <v>39</v>
      </c>
      <c r="D16" s="27" t="s">
        <v>11</v>
      </c>
      <c r="E16" s="27" t="s">
        <v>15</v>
      </c>
      <c r="F16" s="27" t="s">
        <v>2</v>
      </c>
      <c r="G16" s="114">
        <v>18688</v>
      </c>
      <c r="H16" s="116">
        <v>64.888888888888886</v>
      </c>
      <c r="I16" s="136">
        <v>18752.727272727272</v>
      </c>
      <c r="J16" s="64">
        <v>65.11363636363636</v>
      </c>
      <c r="K16" s="77">
        <v>11641.6</v>
      </c>
      <c r="L16" s="56">
        <v>40.422222222222224</v>
      </c>
      <c r="M16" s="55">
        <v>12305</v>
      </c>
      <c r="N16" s="56">
        <v>42.725694444444443</v>
      </c>
      <c r="O16" s="55">
        <v>9664.24</v>
      </c>
      <c r="P16" s="56">
        <v>33.55638888888889</v>
      </c>
      <c r="Q16" s="55">
        <v>9458.8000000000011</v>
      </c>
      <c r="R16" s="56">
        <v>32.843055555555559</v>
      </c>
      <c r="S16" s="55">
        <v>7490</v>
      </c>
      <c r="T16" s="56">
        <v>26.006944444444443</v>
      </c>
      <c r="U16" s="55">
        <v>11903.75</v>
      </c>
      <c r="V16" s="56">
        <v>41.332465277777779</v>
      </c>
    </row>
    <row r="17" spans="3:22" ht="18.5" x14ac:dyDescent="0.45">
      <c r="C17" s="27" t="s">
        <v>68</v>
      </c>
      <c r="D17" s="27" t="s">
        <v>10</v>
      </c>
      <c r="E17" s="27" t="s">
        <v>22</v>
      </c>
      <c r="F17" s="27" t="s">
        <v>0</v>
      </c>
      <c r="G17" s="114">
        <v>202500</v>
      </c>
      <c r="H17" s="116">
        <v>703.125</v>
      </c>
      <c r="I17" s="136">
        <v>153000</v>
      </c>
      <c r="J17" s="64">
        <v>531.25</v>
      </c>
      <c r="K17" s="77">
        <v>139635</v>
      </c>
      <c r="L17" s="56">
        <v>484.84375</v>
      </c>
      <c r="M17" s="55">
        <v>135087.5</v>
      </c>
      <c r="N17" s="56">
        <v>469.05381944444446</v>
      </c>
      <c r="O17" s="55">
        <v>117700</v>
      </c>
      <c r="P17" s="56">
        <v>408.68055555555554</v>
      </c>
      <c r="Q17" s="55">
        <v>82925</v>
      </c>
      <c r="R17" s="56">
        <v>287.93402777777777</v>
      </c>
      <c r="S17" s="55">
        <v>67945</v>
      </c>
      <c r="T17" s="56">
        <v>235.92013888888889</v>
      </c>
      <c r="U17" s="55">
        <v>114133.69</v>
      </c>
      <c r="V17" s="56">
        <v>396.29753472222222</v>
      </c>
    </row>
    <row r="18" spans="3:22" ht="18.5" x14ac:dyDescent="0.45">
      <c r="C18" s="27" t="s">
        <v>40</v>
      </c>
      <c r="D18" s="27" t="s">
        <v>10</v>
      </c>
      <c r="E18" s="27" t="s">
        <v>22</v>
      </c>
      <c r="F18" s="27" t="s">
        <v>0</v>
      </c>
      <c r="G18" s="114">
        <v>194400</v>
      </c>
      <c r="H18" s="116">
        <v>675</v>
      </c>
      <c r="I18" s="136">
        <v>133380</v>
      </c>
      <c r="J18" s="64">
        <v>463.125</v>
      </c>
      <c r="K18" s="77">
        <v>102292</v>
      </c>
      <c r="L18" s="56">
        <v>355.18055555555554</v>
      </c>
      <c r="M18" s="55">
        <v>128400.00000000001</v>
      </c>
      <c r="N18" s="56">
        <v>445.83333333333337</v>
      </c>
      <c r="O18" s="55">
        <v>107891.31000000001</v>
      </c>
      <c r="P18" s="56">
        <v>374.62260416666669</v>
      </c>
      <c r="Q18" s="55">
        <v>77396.31</v>
      </c>
      <c r="R18" s="56">
        <v>268.7371875</v>
      </c>
      <c r="S18" s="55">
        <v>60633.69</v>
      </c>
      <c r="T18" s="56">
        <v>210.53364583333334</v>
      </c>
      <c r="U18" s="55">
        <v>107000</v>
      </c>
      <c r="V18" s="56">
        <v>371.52777777777777</v>
      </c>
    </row>
    <row r="19" spans="3:22" ht="18.5" x14ac:dyDescent="0.45">
      <c r="C19" s="27" t="s">
        <v>43</v>
      </c>
      <c r="D19" s="27" t="s">
        <v>11</v>
      </c>
      <c r="E19" s="27" t="s">
        <v>81</v>
      </c>
      <c r="F19" s="27" t="s">
        <v>0</v>
      </c>
      <c r="G19" s="114">
        <v>45562</v>
      </c>
      <c r="H19" s="116">
        <v>158.20138888888889</v>
      </c>
      <c r="I19" s="136">
        <v>69840</v>
      </c>
      <c r="J19" s="64">
        <v>242.5</v>
      </c>
      <c r="K19" s="77">
        <v>39187.68</v>
      </c>
      <c r="L19" s="56">
        <v>136.06833333333333</v>
      </c>
      <c r="M19" s="55">
        <v>37296.990000000005</v>
      </c>
      <c r="N19" s="56">
        <v>129.50343750000002</v>
      </c>
      <c r="O19" s="55">
        <v>45903</v>
      </c>
      <c r="P19" s="56">
        <v>159.38541666666666</v>
      </c>
      <c r="Q19" s="55">
        <v>38044.920000000006</v>
      </c>
      <c r="R19" s="56">
        <v>132.10041666666669</v>
      </c>
      <c r="S19" s="55">
        <v>24163.81</v>
      </c>
      <c r="T19" s="56">
        <v>83.902118055555562</v>
      </c>
      <c r="U19" s="55">
        <v>43602.5</v>
      </c>
      <c r="V19" s="56">
        <v>151.39756944444446</v>
      </c>
    </row>
    <row r="20" spans="3:22" ht="18.5" x14ac:dyDescent="0.45">
      <c r="C20" s="27" t="s">
        <v>44</v>
      </c>
      <c r="D20" s="27" t="s">
        <v>11</v>
      </c>
      <c r="E20" s="27" t="s">
        <v>81</v>
      </c>
      <c r="F20" s="27" t="s">
        <v>0</v>
      </c>
      <c r="G20" s="114">
        <v>51235</v>
      </c>
      <c r="H20" s="116">
        <v>177.89930555555554</v>
      </c>
      <c r="I20" s="136">
        <v>45360</v>
      </c>
      <c r="J20" s="64">
        <v>157.5</v>
      </c>
      <c r="K20" s="77">
        <v>28322.9</v>
      </c>
      <c r="L20" s="56">
        <v>98.343402777777783</v>
      </c>
      <c r="M20" s="55">
        <v>28222.320000000003</v>
      </c>
      <c r="N20" s="56">
        <v>97.994166666666672</v>
      </c>
      <c r="O20" s="55">
        <v>23910.22</v>
      </c>
      <c r="P20" s="56">
        <v>83.021597222222226</v>
      </c>
      <c r="Q20" s="55">
        <v>17469.89</v>
      </c>
      <c r="R20" s="56">
        <v>60.659340277777773</v>
      </c>
      <c r="S20" s="55">
        <v>17604.710000000003</v>
      </c>
      <c r="T20" s="56">
        <v>61.127465277777787</v>
      </c>
      <c r="U20" s="55">
        <v>25069.030000000002</v>
      </c>
      <c r="V20" s="56">
        <v>87.045243055555559</v>
      </c>
    </row>
    <row r="21" spans="3:22" ht="18.5" x14ac:dyDescent="0.45">
      <c r="C21" s="27" t="s">
        <v>45</v>
      </c>
      <c r="D21" s="27" t="s">
        <v>11</v>
      </c>
      <c r="E21" s="27" t="s">
        <v>81</v>
      </c>
      <c r="F21" s="27" t="s">
        <v>0</v>
      </c>
      <c r="G21" s="114">
        <v>47520</v>
      </c>
      <c r="H21" s="116">
        <v>165</v>
      </c>
      <c r="I21" s="136">
        <v>46875</v>
      </c>
      <c r="J21" s="64">
        <v>162.76041666666666</v>
      </c>
      <c r="K21" s="77">
        <v>31565.000000000004</v>
      </c>
      <c r="L21" s="56">
        <v>109.60069444444446</v>
      </c>
      <c r="M21" s="55">
        <v>29264.5</v>
      </c>
      <c r="N21" s="56">
        <v>101.61284722222223</v>
      </c>
      <c r="O21" s="55">
        <v>24998.41</v>
      </c>
      <c r="P21" s="56">
        <v>86.800034722222222</v>
      </c>
      <c r="Q21" s="55">
        <v>21687.83</v>
      </c>
      <c r="R21" s="56">
        <v>75.304965277777782</v>
      </c>
      <c r="S21" s="55">
        <v>14941.480000000001</v>
      </c>
      <c r="T21" s="56">
        <v>51.880138888888894</v>
      </c>
      <c r="U21" s="55">
        <v>25752.760000000002</v>
      </c>
      <c r="V21" s="56">
        <v>89.419305555555567</v>
      </c>
    </row>
    <row r="22" spans="3:22" ht="18.5" x14ac:dyDescent="0.45">
      <c r="C22" s="27" t="s">
        <v>91</v>
      </c>
      <c r="D22" s="27" t="s">
        <v>11</v>
      </c>
      <c r="E22" s="27" t="s">
        <v>81</v>
      </c>
      <c r="F22" s="27" t="s">
        <v>0</v>
      </c>
      <c r="G22" s="114">
        <v>58154</v>
      </c>
      <c r="H22" s="116">
        <v>201.92361111111111</v>
      </c>
      <c r="I22" s="136">
        <v>0</v>
      </c>
      <c r="J22" s="64">
        <v>0</v>
      </c>
      <c r="K22" s="77">
        <v>0</v>
      </c>
      <c r="L22" s="56">
        <v>0</v>
      </c>
      <c r="M22" s="55">
        <v>0</v>
      </c>
      <c r="N22" s="56">
        <v>0</v>
      </c>
      <c r="O22" s="55">
        <v>0</v>
      </c>
      <c r="P22" s="56">
        <v>0</v>
      </c>
      <c r="Q22" s="55">
        <v>0</v>
      </c>
      <c r="R22" s="56">
        <v>0</v>
      </c>
      <c r="S22" s="55">
        <v>0</v>
      </c>
      <c r="T22" s="56">
        <v>0</v>
      </c>
      <c r="U22" s="55">
        <v>0</v>
      </c>
      <c r="V22" s="56">
        <v>0</v>
      </c>
    </row>
    <row r="23" spans="3:22" ht="18.5" x14ac:dyDescent="0.45">
      <c r="C23" s="27" t="s">
        <v>71</v>
      </c>
      <c r="D23" s="27" t="s">
        <v>10</v>
      </c>
      <c r="E23" s="27" t="s">
        <v>21</v>
      </c>
      <c r="F23" s="27" t="s">
        <v>0</v>
      </c>
      <c r="G23" s="114">
        <v>166050</v>
      </c>
      <c r="H23" s="116">
        <v>576.5625</v>
      </c>
      <c r="I23" s="136">
        <v>176850</v>
      </c>
      <c r="J23" s="64">
        <v>614.0625</v>
      </c>
      <c r="K23" s="77">
        <v>99687.62000000001</v>
      </c>
      <c r="L23" s="56">
        <v>346.13756944444447</v>
      </c>
      <c r="M23" s="55">
        <v>94823.400000000009</v>
      </c>
      <c r="N23" s="56">
        <v>329.2479166666667</v>
      </c>
      <c r="O23" s="55">
        <v>71690</v>
      </c>
      <c r="P23" s="56">
        <v>248.92361111111111</v>
      </c>
      <c r="Q23" s="55">
        <v>63893.98</v>
      </c>
      <c r="R23" s="56">
        <v>221.85409722222224</v>
      </c>
      <c r="S23" s="55">
        <v>44619</v>
      </c>
      <c r="T23" s="56">
        <v>154.92708333333334</v>
      </c>
      <c r="U23" s="55">
        <v>82604</v>
      </c>
      <c r="V23" s="56">
        <v>286.81944444444446</v>
      </c>
    </row>
    <row r="24" spans="3:22" ht="18.5" x14ac:dyDescent="0.45">
      <c r="C24" s="27" t="s">
        <v>72</v>
      </c>
      <c r="D24" s="27" t="s">
        <v>10</v>
      </c>
      <c r="E24" s="27" t="s">
        <v>84</v>
      </c>
      <c r="F24" s="27" t="s">
        <v>0</v>
      </c>
      <c r="G24" s="114">
        <v>153257</v>
      </c>
      <c r="H24" s="116">
        <v>532.14236111111109</v>
      </c>
      <c r="I24" s="136">
        <v>136800</v>
      </c>
      <c r="J24" s="64">
        <v>475</v>
      </c>
      <c r="K24" s="77">
        <v>91378</v>
      </c>
      <c r="L24" s="56">
        <v>317.28472222222223</v>
      </c>
      <c r="M24" s="55">
        <v>87707.900000000009</v>
      </c>
      <c r="N24" s="56">
        <v>304.54131944444447</v>
      </c>
      <c r="O24" s="55">
        <v>76224.66</v>
      </c>
      <c r="P24" s="56">
        <v>264.66895833333336</v>
      </c>
      <c r="Q24" s="55">
        <v>54826.8</v>
      </c>
      <c r="R24" s="56">
        <v>190.37083333333334</v>
      </c>
      <c r="S24" s="55">
        <v>42338.83</v>
      </c>
      <c r="T24" s="56">
        <v>147.00982638888888</v>
      </c>
      <c r="U24" s="55">
        <v>59482.37</v>
      </c>
      <c r="V24" s="56">
        <v>206.53600694444447</v>
      </c>
    </row>
    <row r="25" spans="3:22" ht="18.5" x14ac:dyDescent="0.45">
      <c r="C25" s="27" t="s">
        <v>53</v>
      </c>
      <c r="D25" s="27" t="s">
        <v>11</v>
      </c>
      <c r="E25" s="27" t="s">
        <v>16</v>
      </c>
      <c r="F25" s="27" t="s">
        <v>4</v>
      </c>
      <c r="G25" s="114">
        <v>15286</v>
      </c>
      <c r="H25" s="116">
        <v>53.076388888888886</v>
      </c>
      <c r="I25" s="136">
        <v>13560</v>
      </c>
      <c r="J25" s="64">
        <v>47.083333333333336</v>
      </c>
      <c r="K25" s="77">
        <v>9581.85</v>
      </c>
      <c r="L25" s="56">
        <v>33.270312500000003</v>
      </c>
      <c r="M25" s="55">
        <v>10604.77</v>
      </c>
      <c r="N25" s="56">
        <v>36.822118055555556</v>
      </c>
      <c r="O25" s="55">
        <v>8032.4900000000007</v>
      </c>
      <c r="P25" s="56">
        <v>27.890590277777779</v>
      </c>
      <c r="Q25" s="55">
        <v>6561.2400000000007</v>
      </c>
      <c r="R25" s="56">
        <v>22.782083333333336</v>
      </c>
      <c r="S25" s="55">
        <v>6527</v>
      </c>
      <c r="T25" s="56">
        <v>22.663194444444443</v>
      </c>
      <c r="U25" s="55">
        <v>8971.9500000000007</v>
      </c>
      <c r="V25" s="56">
        <v>31.15260416666667</v>
      </c>
    </row>
    <row r="26" spans="3:22" ht="18.5" x14ac:dyDescent="0.45">
      <c r="C26" s="48" t="s">
        <v>73</v>
      </c>
      <c r="D26" s="27" t="s">
        <v>11</v>
      </c>
      <c r="E26" s="27" t="s">
        <v>27</v>
      </c>
      <c r="F26" s="27" t="s">
        <v>2</v>
      </c>
      <c r="G26" s="114">
        <v>15930</v>
      </c>
      <c r="H26" s="116">
        <v>55.3125</v>
      </c>
      <c r="I26" s="136">
        <v>13608</v>
      </c>
      <c r="J26" s="64">
        <v>47.25</v>
      </c>
      <c r="K26" s="77">
        <v>11342</v>
      </c>
      <c r="L26" s="56">
        <v>39.381944444444443</v>
      </c>
      <c r="M26" s="55">
        <v>11723.99</v>
      </c>
      <c r="N26" s="56">
        <v>40.708298611111111</v>
      </c>
      <c r="O26" s="55">
        <v>7744.6600000000008</v>
      </c>
      <c r="P26" s="56">
        <v>26.891180555555557</v>
      </c>
      <c r="Q26" s="55">
        <v>7022.4100000000008</v>
      </c>
      <c r="R26" s="56">
        <v>24.383368055555557</v>
      </c>
      <c r="S26" s="55">
        <v>6045.5</v>
      </c>
      <c r="T26" s="56">
        <v>20.991319444444443</v>
      </c>
      <c r="U26" s="55">
        <v>9126.0300000000007</v>
      </c>
      <c r="V26" s="56">
        <v>31.68760416666667</v>
      </c>
    </row>
    <row r="27" spans="3:22" ht="18.5" x14ac:dyDescent="0.45">
      <c r="C27" s="27" t="s">
        <v>54</v>
      </c>
      <c r="D27" s="27" t="s">
        <v>11</v>
      </c>
      <c r="E27" s="27" t="s">
        <v>17</v>
      </c>
      <c r="F27" s="27" t="s">
        <v>2</v>
      </c>
      <c r="G27" s="114">
        <v>35340</v>
      </c>
      <c r="H27" s="116">
        <v>122.70833333333333</v>
      </c>
      <c r="I27" s="136">
        <v>33696</v>
      </c>
      <c r="J27" s="64">
        <v>117</v>
      </c>
      <c r="K27" s="77">
        <v>26322</v>
      </c>
      <c r="L27" s="56">
        <v>91.395833333333329</v>
      </c>
      <c r="M27" s="55">
        <v>25514.15</v>
      </c>
      <c r="N27" s="56">
        <v>88.590798611111111</v>
      </c>
      <c r="O27" s="55">
        <v>22023.81</v>
      </c>
      <c r="P27" s="56">
        <v>76.471562500000005</v>
      </c>
      <c r="Q27" s="55">
        <v>16347.460000000001</v>
      </c>
      <c r="R27" s="56">
        <v>56.762013888888895</v>
      </c>
      <c r="S27" s="55">
        <v>15125.52</v>
      </c>
      <c r="T27" s="56">
        <v>52.519166666666671</v>
      </c>
      <c r="U27" s="55">
        <v>18083</v>
      </c>
      <c r="V27" s="56">
        <v>62.788194444444443</v>
      </c>
    </row>
    <row r="28" spans="3:22" ht="18.5" x14ac:dyDescent="0.45">
      <c r="C28" s="27" t="s">
        <v>55</v>
      </c>
      <c r="D28" s="27" t="s">
        <v>11</v>
      </c>
      <c r="E28" s="27" t="s">
        <v>17</v>
      </c>
      <c r="F28" s="27" t="s">
        <v>2</v>
      </c>
      <c r="G28" s="114">
        <v>23272</v>
      </c>
      <c r="H28" s="116">
        <v>80.805555555555557</v>
      </c>
      <c r="I28" s="136">
        <v>22489.411764705881</v>
      </c>
      <c r="J28" s="64">
        <v>78.088235294117638</v>
      </c>
      <c r="K28" s="77">
        <v>14659</v>
      </c>
      <c r="L28" s="56">
        <v>50.899305555555557</v>
      </c>
      <c r="M28" s="55">
        <v>16171.980000000001</v>
      </c>
      <c r="N28" s="56">
        <v>56.152708333333337</v>
      </c>
      <c r="O28" s="55">
        <v>11196.480000000001</v>
      </c>
      <c r="P28" s="56">
        <v>38.876666666666672</v>
      </c>
      <c r="Q28" s="55">
        <v>11823.5</v>
      </c>
      <c r="R28" s="56">
        <v>41.053819444444443</v>
      </c>
      <c r="S28" s="55">
        <v>12776.87</v>
      </c>
      <c r="T28" s="56">
        <v>44.364131944444445</v>
      </c>
      <c r="U28" s="55">
        <v>14204.25</v>
      </c>
      <c r="V28" s="56">
        <v>49.3203125</v>
      </c>
    </row>
    <row r="29" spans="3:22" ht="18.5" x14ac:dyDescent="0.45">
      <c r="C29" s="49" t="s">
        <v>63</v>
      </c>
      <c r="D29" s="27" t="s">
        <v>11</v>
      </c>
      <c r="E29" s="27" t="s">
        <v>17</v>
      </c>
      <c r="F29" s="49" t="s">
        <v>4</v>
      </c>
      <c r="G29" s="114">
        <v>16200</v>
      </c>
      <c r="H29" s="116">
        <v>56.25</v>
      </c>
      <c r="I29" s="136">
        <v>20211.428571428572</v>
      </c>
      <c r="J29" s="64">
        <v>70.178571428571431</v>
      </c>
      <c r="K29" s="77">
        <v>10860.5</v>
      </c>
      <c r="L29" s="56">
        <v>37.710069444444443</v>
      </c>
      <c r="M29" s="55">
        <v>12858.19</v>
      </c>
      <c r="N29" s="56">
        <v>44.64649305555556</v>
      </c>
      <c r="O29" s="55">
        <v>11636.25</v>
      </c>
      <c r="P29" s="56">
        <v>40.403645833333336</v>
      </c>
      <c r="Q29" s="55">
        <v>8025.0000000000009</v>
      </c>
      <c r="R29" s="56">
        <v>27.864583333333336</v>
      </c>
      <c r="S29" s="55">
        <v>11780.7</v>
      </c>
      <c r="T29" s="56">
        <v>40.905208333333334</v>
      </c>
      <c r="U29" s="55">
        <v>12305</v>
      </c>
      <c r="V29" s="56">
        <v>42.725694444444443</v>
      </c>
    </row>
    <row r="30" spans="3:22" ht="18.75" customHeight="1" x14ac:dyDescent="0.45">
      <c r="C30" s="27" t="s">
        <v>56</v>
      </c>
      <c r="D30" s="27" t="s">
        <v>11</v>
      </c>
      <c r="E30" s="27" t="s">
        <v>17</v>
      </c>
      <c r="F30" s="27" t="s">
        <v>4</v>
      </c>
      <c r="G30" s="114">
        <v>19440</v>
      </c>
      <c r="H30" s="116">
        <v>67.5</v>
      </c>
      <c r="I30" s="136">
        <v>18775.384615384617</v>
      </c>
      <c r="J30" s="64">
        <v>65.192307692307693</v>
      </c>
      <c r="K30" s="77">
        <v>13027.25</v>
      </c>
      <c r="L30" s="56">
        <v>45.233506944444443</v>
      </c>
      <c r="M30" s="55">
        <v>12857.12</v>
      </c>
      <c r="N30" s="56">
        <v>44.642777777777781</v>
      </c>
      <c r="O30" s="55">
        <v>11636.25</v>
      </c>
      <c r="P30" s="56">
        <v>40.403645833333336</v>
      </c>
      <c r="Q30" s="55">
        <v>8025.0000000000009</v>
      </c>
      <c r="R30" s="56">
        <v>27.864583333333336</v>
      </c>
      <c r="S30" s="55">
        <v>11780.7</v>
      </c>
      <c r="T30" s="56">
        <v>40.905208333333334</v>
      </c>
      <c r="U30" s="55">
        <v>12305</v>
      </c>
      <c r="V30" s="56">
        <v>42.725694444444443</v>
      </c>
    </row>
    <row r="31" spans="3:22" ht="18.5" x14ac:dyDescent="0.45">
      <c r="C31" s="27" t="s">
        <v>57</v>
      </c>
      <c r="D31" s="27" t="s">
        <v>11</v>
      </c>
      <c r="E31" s="27" t="s">
        <v>17</v>
      </c>
      <c r="F31" s="27" t="s">
        <v>4</v>
      </c>
      <c r="G31" s="114">
        <v>17468</v>
      </c>
      <c r="H31" s="116">
        <v>60.652777777777779</v>
      </c>
      <c r="I31" s="136">
        <v>17100</v>
      </c>
      <c r="J31" s="64">
        <v>59.375</v>
      </c>
      <c r="K31" s="77">
        <v>12468.710000000001</v>
      </c>
      <c r="L31" s="56">
        <v>43.294131944444445</v>
      </c>
      <c r="M31" s="55">
        <v>11400.85</v>
      </c>
      <c r="N31" s="56">
        <v>39.586284722222224</v>
      </c>
      <c r="O31" s="55">
        <v>9405.3000000000011</v>
      </c>
      <c r="P31" s="56">
        <v>32.657291666666673</v>
      </c>
      <c r="Q31" s="55">
        <v>8753.67</v>
      </c>
      <c r="R31" s="56">
        <v>30.3946875</v>
      </c>
      <c r="S31" s="55">
        <v>7004.22</v>
      </c>
      <c r="T31" s="56">
        <v>24.320208333333333</v>
      </c>
      <c r="U31" s="55">
        <v>11984</v>
      </c>
      <c r="V31" s="56">
        <v>41.611111111111114</v>
      </c>
    </row>
    <row r="32" spans="3:22" ht="18.5" x14ac:dyDescent="0.45">
      <c r="C32" s="27" t="s">
        <v>58</v>
      </c>
      <c r="D32" s="27" t="s">
        <v>11</v>
      </c>
      <c r="E32" s="27" t="s">
        <v>18</v>
      </c>
      <c r="F32" s="27" t="s">
        <v>4</v>
      </c>
      <c r="G32" s="114">
        <v>0</v>
      </c>
      <c r="H32" s="116">
        <v>0</v>
      </c>
      <c r="I32" s="136">
        <v>16740</v>
      </c>
      <c r="J32" s="64">
        <v>58.125</v>
      </c>
      <c r="K32" s="77">
        <v>8560</v>
      </c>
      <c r="L32" s="56">
        <v>29.722222222222221</v>
      </c>
      <c r="M32" s="55">
        <v>12037.5</v>
      </c>
      <c r="N32" s="56">
        <v>41.796875</v>
      </c>
      <c r="O32" s="55">
        <v>9541.19</v>
      </c>
      <c r="P32" s="56">
        <v>33.129131944444445</v>
      </c>
      <c r="Q32" s="55">
        <v>7668.6900000000005</v>
      </c>
      <c r="R32" s="56">
        <v>26.627395833333335</v>
      </c>
      <c r="S32" s="55">
        <v>4114.1500000000005</v>
      </c>
      <c r="T32" s="56">
        <v>14.285243055555558</v>
      </c>
      <c r="U32" s="55">
        <v>6698.2000000000007</v>
      </c>
      <c r="V32" s="56">
        <v>23.257638888888891</v>
      </c>
    </row>
    <row r="33" spans="3:22" ht="18.5" x14ac:dyDescent="0.45">
      <c r="C33" s="27" t="s">
        <v>77</v>
      </c>
      <c r="D33" s="27" t="s">
        <v>11</v>
      </c>
      <c r="E33" s="27" t="s">
        <v>20</v>
      </c>
      <c r="F33" s="27" t="s">
        <v>2</v>
      </c>
      <c r="G33" s="114">
        <v>16605</v>
      </c>
      <c r="H33" s="116">
        <v>57.65625</v>
      </c>
      <c r="I33" s="136">
        <v>16283.076923076924</v>
      </c>
      <c r="J33" s="64">
        <v>56.53846153846154</v>
      </c>
      <c r="K33" s="77">
        <v>10199.24</v>
      </c>
      <c r="L33" s="56">
        <v>35.414027777777775</v>
      </c>
      <c r="M33" s="55">
        <v>9689.92</v>
      </c>
      <c r="N33" s="56">
        <v>33.645555555555553</v>
      </c>
      <c r="O33" s="55">
        <v>8470.1200000000008</v>
      </c>
      <c r="P33" s="56">
        <v>29.410138888888891</v>
      </c>
      <c r="Q33" s="55">
        <v>7559.55</v>
      </c>
      <c r="R33" s="56">
        <v>26.248437500000001</v>
      </c>
      <c r="S33" s="55">
        <v>6294.81</v>
      </c>
      <c r="T33" s="56">
        <v>21.856979166666669</v>
      </c>
      <c r="U33" s="55">
        <v>8088.13</v>
      </c>
      <c r="V33" s="56">
        <v>28.083784722222223</v>
      </c>
    </row>
    <row r="34" spans="3:22" ht="18.5" x14ac:dyDescent="0.45">
      <c r="C34" s="27" t="s">
        <v>78</v>
      </c>
      <c r="D34" s="27" t="s">
        <v>11</v>
      </c>
      <c r="E34" s="27" t="s">
        <v>20</v>
      </c>
      <c r="F34" s="27" t="s">
        <v>2</v>
      </c>
      <c r="G34" s="114">
        <v>16615</v>
      </c>
      <c r="H34" s="116">
        <v>57.690972222222221</v>
      </c>
      <c r="I34" s="136">
        <v>18036</v>
      </c>
      <c r="J34" s="64">
        <v>62.625</v>
      </c>
      <c r="K34" s="77">
        <v>11580.61</v>
      </c>
      <c r="L34" s="56">
        <v>40.210451388888892</v>
      </c>
      <c r="M34" s="55">
        <v>11964.740000000002</v>
      </c>
      <c r="N34" s="56">
        <v>41.544236111111118</v>
      </c>
      <c r="O34" s="55">
        <v>9698.4800000000014</v>
      </c>
      <c r="P34" s="56">
        <v>33.675277777777779</v>
      </c>
      <c r="Q34" s="55">
        <v>7415.1</v>
      </c>
      <c r="R34" s="56">
        <v>25.746875000000003</v>
      </c>
      <c r="S34" s="55">
        <v>0</v>
      </c>
      <c r="T34" s="56">
        <v>0</v>
      </c>
      <c r="U34" s="55">
        <v>8298.92</v>
      </c>
      <c r="V34" s="56">
        <v>28.815694444444446</v>
      </c>
    </row>
    <row r="35" spans="3:22" ht="18.5" x14ac:dyDescent="0.45">
      <c r="C35" s="27" t="s">
        <v>79</v>
      </c>
      <c r="D35" s="27" t="s">
        <v>11</v>
      </c>
      <c r="E35" s="27" t="s">
        <v>20</v>
      </c>
      <c r="F35" s="27" t="s">
        <v>2</v>
      </c>
      <c r="G35" s="114">
        <v>16330</v>
      </c>
      <c r="H35" s="116">
        <v>56.701388888888886</v>
      </c>
      <c r="I35" s="136">
        <v>15660</v>
      </c>
      <c r="J35" s="64">
        <v>54.375</v>
      </c>
      <c r="K35" s="77">
        <v>9999.1500000000015</v>
      </c>
      <c r="L35" s="56">
        <v>34.71927083333334</v>
      </c>
      <c r="M35" s="55">
        <v>9944.58</v>
      </c>
      <c r="N35" s="56">
        <v>34.529791666666668</v>
      </c>
      <c r="O35" s="55">
        <v>7538.1500000000005</v>
      </c>
      <c r="P35" s="56">
        <v>26.174131944444447</v>
      </c>
      <c r="Q35" s="55">
        <v>6922.9000000000005</v>
      </c>
      <c r="R35" s="56">
        <v>24.037847222222226</v>
      </c>
      <c r="S35" s="55">
        <v>5733.06</v>
      </c>
      <c r="T35" s="56">
        <v>19.906458333333333</v>
      </c>
      <c r="U35" s="55">
        <v>8940.92</v>
      </c>
      <c r="V35" s="56">
        <v>31.044861111111111</v>
      </c>
    </row>
    <row r="36" spans="3:22" ht="18.5" x14ac:dyDescent="0.45">
      <c r="C36" s="27" t="s">
        <v>59</v>
      </c>
      <c r="D36" s="27" t="s">
        <v>11</v>
      </c>
      <c r="E36" s="27" t="s">
        <v>19</v>
      </c>
      <c r="F36" s="27" t="s">
        <v>2</v>
      </c>
      <c r="G36" s="114">
        <v>24230</v>
      </c>
      <c r="H36" s="116">
        <v>84.131944444444443</v>
      </c>
      <c r="I36" s="136">
        <v>32400</v>
      </c>
      <c r="J36" s="64">
        <v>112.5</v>
      </c>
      <c r="K36" s="77">
        <v>16149.51</v>
      </c>
      <c r="L36" s="56">
        <v>56.074687500000003</v>
      </c>
      <c r="M36" s="55">
        <v>17295.48</v>
      </c>
      <c r="N36" s="56">
        <v>60.053750000000001</v>
      </c>
      <c r="O36" s="55">
        <v>13999.880000000001</v>
      </c>
      <c r="P36" s="56">
        <v>48.610694444444448</v>
      </c>
      <c r="Q36" s="55">
        <v>14512.410000000002</v>
      </c>
      <c r="R36" s="56">
        <v>50.390312500000007</v>
      </c>
      <c r="S36" s="55">
        <v>10544.85</v>
      </c>
      <c r="T36" s="56">
        <v>36.614062500000003</v>
      </c>
      <c r="U36" s="55">
        <v>14980</v>
      </c>
      <c r="V36" s="56">
        <v>52.013888888888886</v>
      </c>
    </row>
    <row r="37" spans="3:22" ht="18.5" x14ac:dyDescent="0.45">
      <c r="C37" s="27" t="s">
        <v>60</v>
      </c>
      <c r="D37" s="27" t="s">
        <v>11</v>
      </c>
      <c r="E37" s="27" t="s">
        <v>19</v>
      </c>
      <c r="F37" s="27" t="s">
        <v>2</v>
      </c>
      <c r="G37" s="114">
        <v>25200</v>
      </c>
      <c r="H37" s="116">
        <v>87.5</v>
      </c>
      <c r="I37" s="136">
        <v>30000</v>
      </c>
      <c r="J37" s="64">
        <v>104.16666666666667</v>
      </c>
      <c r="K37" s="77">
        <v>23063.850000000002</v>
      </c>
      <c r="L37" s="56">
        <v>80.082812500000003</v>
      </c>
      <c r="M37" s="55">
        <v>21781.99</v>
      </c>
      <c r="N37" s="56">
        <v>75.631909722222233</v>
      </c>
      <c r="O37" s="55">
        <v>18613.72</v>
      </c>
      <c r="P37" s="56">
        <v>64.630972222222226</v>
      </c>
      <c r="Q37" s="55">
        <v>16072.470000000001</v>
      </c>
      <c r="R37" s="56">
        <v>55.807187500000005</v>
      </c>
      <c r="S37" s="55">
        <v>17386.43</v>
      </c>
      <c r="T37" s="56">
        <v>60.369548611111114</v>
      </c>
      <c r="U37" s="55">
        <v>16406.310000000001</v>
      </c>
      <c r="V37" s="56">
        <v>56.966354166666669</v>
      </c>
    </row>
    <row r="38" spans="3:22" ht="18.5" x14ac:dyDescent="0.45">
      <c r="C38" s="27" t="s">
        <v>61</v>
      </c>
      <c r="D38" s="27" t="s">
        <v>11</v>
      </c>
      <c r="E38" s="27" t="s">
        <v>19</v>
      </c>
      <c r="F38" s="27" t="s">
        <v>2</v>
      </c>
      <c r="G38" s="114">
        <v>24009</v>
      </c>
      <c r="H38" s="116">
        <v>83.364583333333329</v>
      </c>
      <c r="I38" s="136">
        <v>24240</v>
      </c>
      <c r="J38" s="64">
        <v>84.166666666666671</v>
      </c>
      <c r="K38" s="77">
        <v>12868.890000000001</v>
      </c>
      <c r="L38" s="56">
        <v>44.683645833333337</v>
      </c>
      <c r="M38" s="55">
        <v>15173.67</v>
      </c>
      <c r="N38" s="56">
        <v>52.686354166666668</v>
      </c>
      <c r="O38" s="55">
        <v>12716.95</v>
      </c>
      <c r="P38" s="56">
        <v>44.156076388888891</v>
      </c>
      <c r="Q38" s="55">
        <v>10572.67</v>
      </c>
      <c r="R38" s="56">
        <v>36.710659722222225</v>
      </c>
      <c r="S38" s="55">
        <v>10793.09</v>
      </c>
      <c r="T38" s="56">
        <v>37.476006944444443</v>
      </c>
      <c r="U38" s="55">
        <v>12253.640000000001</v>
      </c>
      <c r="V38" s="56">
        <v>42.547361111111115</v>
      </c>
    </row>
    <row r="39" spans="3:22" ht="19" thickBot="1" x14ac:dyDescent="0.5">
      <c r="C39" s="28" t="s">
        <v>62</v>
      </c>
      <c r="D39" s="28" t="s">
        <v>11</v>
      </c>
      <c r="E39" s="28" t="s">
        <v>19</v>
      </c>
      <c r="F39" s="28" t="s">
        <v>2</v>
      </c>
      <c r="G39" s="120">
        <v>22217</v>
      </c>
      <c r="H39" s="122">
        <v>77.142361111111114</v>
      </c>
      <c r="I39" s="137">
        <v>24250.909090909092</v>
      </c>
      <c r="J39" s="65">
        <v>84.204545454545453</v>
      </c>
      <c r="K39" s="78">
        <v>14117.58</v>
      </c>
      <c r="L39" s="58">
        <v>49.019374999999997</v>
      </c>
      <c r="M39" s="57">
        <v>15432.61</v>
      </c>
      <c r="N39" s="58">
        <v>53.585451388888892</v>
      </c>
      <c r="O39" s="57">
        <v>12183.02</v>
      </c>
      <c r="P39" s="58">
        <v>42.302152777777778</v>
      </c>
      <c r="Q39" s="57">
        <v>10746.01</v>
      </c>
      <c r="R39" s="58">
        <v>37.312534722222225</v>
      </c>
      <c r="S39" s="57">
        <v>9983.1</v>
      </c>
      <c r="T39" s="58">
        <v>34.663541666666667</v>
      </c>
      <c r="U39" s="57">
        <v>11948.69</v>
      </c>
      <c r="V39" s="58">
        <v>41.488506944444445</v>
      </c>
    </row>
    <row r="41" spans="3:22" ht="15" customHeight="1" x14ac:dyDescent="0.45">
      <c r="C41" s="179"/>
      <c r="D41" s="180"/>
    </row>
    <row r="42" spans="3:22" ht="18.5" x14ac:dyDescent="0.45">
      <c r="C42" s="67"/>
    </row>
  </sheetData>
  <autoFilter ref="C5:V39" xr:uid="{F1D256FD-4AA7-42F7-8C91-17A84D03509C}">
    <sortState xmlns:xlrd2="http://schemas.microsoft.com/office/spreadsheetml/2017/richdata2" ref="C6:V39">
      <sortCondition ref="C5:C39"/>
    </sortState>
  </autoFilter>
  <sortState xmlns:xlrd2="http://schemas.microsoft.com/office/spreadsheetml/2017/richdata2" ref="C6:V39">
    <sortCondition ref="C5:C39"/>
  </sortState>
  <mergeCells count="10">
    <mergeCell ref="C41:D41"/>
    <mergeCell ref="U3:V3"/>
    <mergeCell ref="K3:L3"/>
    <mergeCell ref="M3:N3"/>
    <mergeCell ref="O3:P3"/>
    <mergeCell ref="Q3:R3"/>
    <mergeCell ref="S3:T3"/>
    <mergeCell ref="C3:E3"/>
    <mergeCell ref="I3:J3"/>
    <mergeCell ref="G3:H3"/>
  </mergeCells>
  <conditionalFormatting sqref="K6:V3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{D0C42BFE-B7A3-4F1A-BF55-27228ACFA7AF}</x14:id>
        </ext>
      </extLst>
    </cfRule>
  </conditionalFormatting>
  <conditionalFormatting sqref="K6:V39">
    <cfRule type="dataBar" priority="26">
      <dataBar>
        <cfvo type="min"/>
        <cfvo type="max"/>
        <color rgb="FFF9EEEE"/>
      </dataBar>
      <extLst>
        <ext xmlns:x14="http://schemas.microsoft.com/office/spreadsheetml/2009/9/main" uri="{B025F937-C7B1-47D3-B67F-A62EFF666E3E}">
          <x14:id>{7E002A52-FC23-9A44-89A2-B285BD34CFBE}</x14:id>
        </ext>
      </extLst>
    </cfRule>
  </conditionalFormatting>
  <conditionalFormatting sqref="I6:I39">
    <cfRule type="dataBar" priority="22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{C7C3E30E-728C-43F9-8CCB-381B5CC1DB86}</x14:id>
        </ext>
      </extLst>
    </cfRule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{A4514162-0597-4212-AC15-EB1BFC4AD930}</x14:id>
        </ext>
      </extLst>
    </cfRule>
  </conditionalFormatting>
  <conditionalFormatting sqref="I6:J39">
    <cfRule type="dataBar" priority="20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{133DA43C-46D6-4937-BF4A-0205101CB03C}</x14:id>
        </ext>
      </extLst>
    </cfRule>
    <cfRule type="dataBar" priority="21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{990ED789-10CC-4AA7-AB2B-3DCCDE9A937F}</x14:id>
        </ext>
      </extLst>
    </cfRule>
  </conditionalFormatting>
  <conditionalFormatting sqref="I6:V39">
    <cfRule type="dataBar" priority="19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{FB629E70-080B-482E-82FD-5A530C8A3748}</x14:id>
        </ext>
      </extLst>
    </cfRule>
  </conditionalFormatting>
  <conditionalFormatting sqref="G6:G39">
    <cfRule type="dataBar" priority="4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{B7DA7ADC-AAE7-44FC-A88C-57A28F714E09}</x14:id>
        </ext>
      </extLst>
    </cfRule>
    <cfRule type="dataBar" priority="5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{7A53EDD3-4A70-4046-BF04-B8FAE98E340E}</x14:id>
        </ext>
      </extLst>
    </cfRule>
    <cfRule type="dataBar" priority="6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{91D39EAA-2908-4A6F-8B9C-069D78A42708}</x14:id>
        </ext>
      </extLst>
    </cfRule>
    <cfRule type="dataBar" priority="7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{FD6D639B-FFBC-419A-9786-8D055083C666}</x14:id>
        </ext>
      </extLs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{15EDF174-0D64-4FFF-BDD2-A07A5E5E7AB9}</x14:id>
        </ext>
      </extLst>
    </cfRule>
  </conditionalFormatting>
  <conditionalFormatting sqref="G6:H39">
    <cfRule type="dataBar" priority="9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{26C3F36C-48BC-40D9-A12A-78D9B3D6F7A4}</x14:id>
        </ext>
      </extLst>
    </cfRule>
    <cfRule type="dataBar" priority="10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{979FDFAE-D1D7-419C-AFE3-0BCC169FF5F3}</x14:id>
        </ext>
      </extLst>
    </cfRule>
    <cfRule type="dataBar" priority="3">
      <dataBar>
        <cfvo type="min"/>
        <cfvo type="max"/>
        <color rgb="FFCCCCFF"/>
      </dataBar>
      <extLst>
        <ext xmlns:x14="http://schemas.microsoft.com/office/spreadsheetml/2009/9/main" uri="{B025F937-C7B1-47D3-B67F-A62EFF666E3E}">
          <x14:id>{2236FBAF-317F-4290-B250-0F5F3E7718A2}</x14:id>
        </ext>
      </extLst>
    </cfRule>
    <cfRule type="dataBar" priority="2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{CE4CBF9A-A3CD-4AFA-AAB1-D39EBC9EF225}</x14:id>
        </ext>
      </extLst>
    </cfRule>
    <cfRule type="dataBar" priority="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{13540F82-7AB1-4D41-8EA9-66A2919FB208}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C42BFE-B7A3-4F1A-BF55-27228ACFA7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K6:V39</xm:sqref>
        </x14:conditionalFormatting>
        <x14:conditionalFormatting xmlns:xm="http://schemas.microsoft.com/office/excel/2006/main">
          <x14:cfRule type="dataBar" id="{7E002A52-FC23-9A44-89A2-B285BD34CF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K6:V39</xm:sqref>
        </x14:conditionalFormatting>
        <x14:conditionalFormatting xmlns:xm="http://schemas.microsoft.com/office/excel/2006/main">
          <x14:cfRule type="dataBar" id="{C7C3E30E-728C-43F9-8CCB-381B5CC1D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4514162-0597-4212-AC15-EB1BFC4AD9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I6:I39</xm:sqref>
        </x14:conditionalFormatting>
        <x14:conditionalFormatting xmlns:xm="http://schemas.microsoft.com/office/excel/2006/main">
          <x14:cfRule type="dataBar" id="{133DA43C-46D6-4937-BF4A-0205101CB0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90ED789-10CC-4AA7-AB2B-3DCCDE9A93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I6:J39</xm:sqref>
        </x14:conditionalFormatting>
        <x14:conditionalFormatting xmlns:xm="http://schemas.microsoft.com/office/excel/2006/main">
          <x14:cfRule type="dataBar" id="{FB629E70-080B-482E-82FD-5A530C8A37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I6:V39</xm:sqref>
        </x14:conditionalFormatting>
        <x14:conditionalFormatting xmlns:xm="http://schemas.microsoft.com/office/excel/2006/main">
          <x14:cfRule type="dataBar" id="{B7DA7ADC-AAE7-44FC-A88C-57A28F714E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53EDD3-4A70-4046-BF04-B8FAE98E34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D39EAA-2908-4A6F-8B9C-069D78A427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D6D639B-FFBC-419A-9786-8D055083C6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5EDF174-0D64-4FFF-BDD2-A07A5E5E7A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G6:G39</xm:sqref>
        </x14:conditionalFormatting>
        <x14:conditionalFormatting xmlns:xm="http://schemas.microsoft.com/office/excel/2006/main">
          <x14:cfRule type="dataBar" id="{26C3F36C-48BC-40D9-A12A-78D9B3D6F7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79FDFAE-D1D7-419C-AFE3-0BCC169FF5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36FBAF-317F-4290-B250-0F5F3E771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E4CBF9A-A3CD-4AFA-AAB1-D39EBC9EF2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3540F82-7AB1-4D41-8EA9-66A2919FB2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G6:H39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BC12-8981-4122-BC98-BE73CE0AA3E6}">
  <dimension ref="B1:W26"/>
  <sheetViews>
    <sheetView showGridLines="0" zoomScale="55" zoomScaleNormal="55" workbookViewId="0">
      <selection activeCell="F37" sqref="F37"/>
    </sheetView>
  </sheetViews>
  <sheetFormatPr defaultColWidth="8.7265625" defaultRowHeight="14.5" x14ac:dyDescent="0.35"/>
  <cols>
    <col min="1" max="1" width="2.26953125" style="1" customWidth="1"/>
    <col min="2" max="2" width="83.26953125" style="1" customWidth="1"/>
    <col min="3" max="3" width="19.7265625" style="1" bestFit="1" customWidth="1"/>
    <col min="4" max="4" width="28.26953125" style="1" bestFit="1" customWidth="1"/>
    <col min="5" max="5" width="22.6328125" style="1" customWidth="1"/>
    <col min="6" max="6" width="16" style="1" customWidth="1"/>
    <col min="7" max="7" width="15.6328125" style="1" customWidth="1"/>
    <col min="8" max="8" width="18.7265625" style="1" customWidth="1"/>
    <col min="9" max="9" width="15" style="1" customWidth="1"/>
    <col min="10" max="10" width="18.7265625" style="1" customWidth="1"/>
    <col min="11" max="11" width="15" style="1" customWidth="1"/>
    <col min="12" max="12" width="14.7265625" style="1" customWidth="1"/>
    <col min="13" max="13" width="14.54296875" style="1" customWidth="1"/>
    <col min="14" max="14" width="14.7265625" style="1" customWidth="1"/>
    <col min="15" max="15" width="16" style="1" customWidth="1"/>
    <col min="16" max="16" width="14.7265625" style="1" customWidth="1"/>
    <col min="17" max="17" width="14.54296875" style="1" customWidth="1"/>
    <col min="18" max="18" width="14.7265625" style="1" customWidth="1"/>
    <col min="19" max="19" width="16.26953125" style="1" customWidth="1"/>
    <col min="20" max="21" width="14.7265625" style="1" customWidth="1"/>
    <col min="22" max="16384" width="8.7265625" style="1"/>
  </cols>
  <sheetData>
    <row r="1" spans="2:23" s="3" customFormat="1" x14ac:dyDescent="0.35"/>
    <row r="2" spans="2:23" ht="57" customHeight="1" thickBot="1" x14ac:dyDescent="0.65"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3" s="12" customFormat="1" ht="21.5" thickBot="1" x14ac:dyDescent="0.4">
      <c r="B3" s="196" t="s">
        <v>80</v>
      </c>
      <c r="C3" s="189"/>
      <c r="D3" s="189"/>
      <c r="E3" s="81"/>
      <c r="F3" s="193">
        <v>2022</v>
      </c>
      <c r="G3" s="197"/>
      <c r="H3" s="193">
        <v>2021</v>
      </c>
      <c r="I3" s="197"/>
      <c r="J3" s="195">
        <v>2020</v>
      </c>
      <c r="K3" s="194"/>
      <c r="L3" s="193">
        <v>2019</v>
      </c>
      <c r="M3" s="194"/>
      <c r="N3" s="193">
        <v>2018</v>
      </c>
      <c r="O3" s="194"/>
      <c r="P3" s="193">
        <v>2017</v>
      </c>
      <c r="Q3" s="194"/>
      <c r="R3" s="193">
        <v>2016</v>
      </c>
      <c r="S3" s="194"/>
      <c r="T3" s="193">
        <v>2015</v>
      </c>
      <c r="U3" s="194"/>
    </row>
    <row r="4" spans="2:23" s="12" customFormat="1" ht="21.5" thickBot="1" x14ac:dyDescent="0.4">
      <c r="B4" s="74"/>
      <c r="C4" s="15"/>
      <c r="D4" s="15"/>
      <c r="E4" s="15"/>
      <c r="F4" s="15"/>
      <c r="G4" s="15"/>
      <c r="H4" s="15"/>
      <c r="I4" s="15"/>
      <c r="J4" s="83"/>
      <c r="K4" s="23"/>
      <c r="L4" s="22"/>
      <c r="M4" s="23"/>
      <c r="N4" s="22"/>
      <c r="O4" s="23"/>
      <c r="P4" s="22"/>
      <c r="Q4" s="23"/>
      <c r="R4" s="22"/>
      <c r="S4" s="23"/>
      <c r="T4" s="22"/>
      <c r="U4" s="23"/>
    </row>
    <row r="5" spans="2:23" s="8" customFormat="1" ht="21.5" thickBot="1" x14ac:dyDescent="0.55000000000000004">
      <c r="B5" s="16" t="s">
        <v>5</v>
      </c>
      <c r="C5" s="21" t="s">
        <v>28</v>
      </c>
      <c r="D5" s="21" t="s">
        <v>4</v>
      </c>
      <c r="E5" s="82" t="s">
        <v>29</v>
      </c>
      <c r="F5" s="17" t="s">
        <v>1</v>
      </c>
      <c r="G5" s="24" t="s">
        <v>3</v>
      </c>
      <c r="H5" s="17" t="s">
        <v>1</v>
      </c>
      <c r="I5" s="24" t="s">
        <v>3</v>
      </c>
      <c r="J5" s="17" t="s">
        <v>1</v>
      </c>
      <c r="K5" s="24" t="s">
        <v>3</v>
      </c>
      <c r="L5" s="17" t="s">
        <v>1</v>
      </c>
      <c r="M5" s="24" t="s">
        <v>3</v>
      </c>
      <c r="N5" s="17" t="s">
        <v>1</v>
      </c>
      <c r="O5" s="24" t="s">
        <v>3</v>
      </c>
      <c r="P5" s="17" t="s">
        <v>1</v>
      </c>
      <c r="Q5" s="24" t="s">
        <v>3</v>
      </c>
      <c r="R5" s="17" t="s">
        <v>1</v>
      </c>
      <c r="S5" s="24" t="s">
        <v>3</v>
      </c>
      <c r="T5" s="17" t="s">
        <v>1</v>
      </c>
      <c r="U5" s="24" t="s">
        <v>3</v>
      </c>
    </row>
    <row r="6" spans="2:23" ht="18.5" x14ac:dyDescent="0.45">
      <c r="B6" s="18" t="s">
        <v>65</v>
      </c>
      <c r="C6" s="40" t="s">
        <v>11</v>
      </c>
      <c r="D6" s="40" t="s">
        <v>25</v>
      </c>
      <c r="E6" s="41" t="s">
        <v>0</v>
      </c>
      <c r="F6" s="159">
        <v>324000</v>
      </c>
      <c r="G6" s="160">
        <v>1125</v>
      </c>
      <c r="H6" s="156">
        <v>217800</v>
      </c>
      <c r="I6" s="169">
        <v>756.25</v>
      </c>
      <c r="J6" s="170">
        <v>143380</v>
      </c>
      <c r="K6" s="171">
        <v>497.84722222222223</v>
      </c>
      <c r="L6" s="77">
        <v>139100</v>
      </c>
      <c r="M6" s="166">
        <v>482.98611111111109</v>
      </c>
      <c r="N6" s="173">
        <v>141240</v>
      </c>
      <c r="O6" s="174">
        <v>490.41666666666669</v>
      </c>
      <c r="P6" s="77">
        <v>115203.69</v>
      </c>
      <c r="Q6" s="166">
        <v>400.0128125</v>
      </c>
      <c r="R6" s="173">
        <v>83460</v>
      </c>
      <c r="S6" s="174">
        <v>289.79166666666669</v>
      </c>
      <c r="T6" s="173">
        <v>87026.310000000012</v>
      </c>
      <c r="U6" s="174">
        <v>302.17468750000006</v>
      </c>
    </row>
    <row r="7" spans="2:23" ht="18.5" x14ac:dyDescent="0.45">
      <c r="B7" s="155" t="s">
        <v>92</v>
      </c>
      <c r="C7" s="149" t="s">
        <v>11</v>
      </c>
      <c r="D7" s="149" t="s">
        <v>15</v>
      </c>
      <c r="E7" s="155" t="s">
        <v>2</v>
      </c>
      <c r="F7" s="114">
        <v>47088</v>
      </c>
      <c r="G7" s="116">
        <v>163.5</v>
      </c>
      <c r="H7" s="168">
        <v>0</v>
      </c>
      <c r="I7" s="168">
        <v>0</v>
      </c>
      <c r="J7" s="150">
        <v>0</v>
      </c>
      <c r="K7" s="151">
        <v>0</v>
      </c>
      <c r="L7" s="152">
        <v>0</v>
      </c>
      <c r="M7" s="167">
        <v>0</v>
      </c>
      <c r="N7" s="154">
        <v>0</v>
      </c>
      <c r="O7" s="153">
        <v>0</v>
      </c>
      <c r="P7" s="152">
        <v>0</v>
      </c>
      <c r="Q7" s="167">
        <v>0</v>
      </c>
      <c r="R7" s="154">
        <v>0</v>
      </c>
      <c r="S7" s="153">
        <v>0</v>
      </c>
      <c r="T7" s="154">
        <v>0</v>
      </c>
      <c r="U7" s="153">
        <v>0</v>
      </c>
    </row>
    <row r="8" spans="2:23" ht="18.5" x14ac:dyDescent="0.45">
      <c r="B8" s="27" t="s">
        <v>30</v>
      </c>
      <c r="C8" s="149" t="s">
        <v>11</v>
      </c>
      <c r="D8" s="149" t="s">
        <v>15</v>
      </c>
      <c r="E8" s="155" t="s">
        <v>2</v>
      </c>
      <c r="F8" s="114">
        <v>26228</v>
      </c>
      <c r="G8" s="116">
        <v>91.069444444444443</v>
      </c>
      <c r="H8" s="157">
        <v>25920</v>
      </c>
      <c r="I8" s="161">
        <f>H8/288</f>
        <v>90</v>
      </c>
      <c r="J8" s="134">
        <v>14292</v>
      </c>
      <c r="K8" s="66">
        <f>J8/288</f>
        <v>49.625</v>
      </c>
      <c r="L8" s="157">
        <v>14882</v>
      </c>
      <c r="M8" s="161">
        <f t="shared" ref="M8" si="0">L8/288</f>
        <v>51.673611111111114</v>
      </c>
      <c r="N8" s="134">
        <v>10929</v>
      </c>
      <c r="O8" s="66">
        <f t="shared" ref="O8" si="1">N8/288</f>
        <v>37.947916666666664</v>
      </c>
      <c r="P8" s="157">
        <v>9744</v>
      </c>
      <c r="Q8" s="161">
        <f t="shared" ref="Q8" si="2">P8/288</f>
        <v>33.833333333333336</v>
      </c>
      <c r="R8" s="134">
        <v>8626</v>
      </c>
      <c r="S8" s="66">
        <f t="shared" ref="S8" si="3">R8/288</f>
        <v>29.951388888888889</v>
      </c>
      <c r="T8" s="134">
        <v>15871</v>
      </c>
      <c r="U8" s="66">
        <f t="shared" ref="U8" si="4">T8/288</f>
        <v>55.107638888888886</v>
      </c>
      <c r="V8" s="152"/>
      <c r="W8" s="167"/>
    </row>
    <row r="9" spans="2:23" ht="18.5" x14ac:dyDescent="0.45">
      <c r="B9" s="19" t="s">
        <v>67</v>
      </c>
      <c r="C9" s="42" t="s">
        <v>12</v>
      </c>
      <c r="D9" s="42" t="s">
        <v>12</v>
      </c>
      <c r="E9" s="43" t="s">
        <v>2</v>
      </c>
      <c r="F9" s="114">
        <v>24300</v>
      </c>
      <c r="G9" s="116">
        <v>84.375</v>
      </c>
      <c r="H9" s="157">
        <v>32400</v>
      </c>
      <c r="I9" s="161">
        <v>112.5</v>
      </c>
      <c r="J9" s="162">
        <v>11770</v>
      </c>
      <c r="K9" s="59">
        <v>40.868055555555557</v>
      </c>
      <c r="L9" s="77">
        <v>15996.500000000002</v>
      </c>
      <c r="M9" s="166">
        <v>55.543402777777786</v>
      </c>
      <c r="N9" s="55">
        <v>15515</v>
      </c>
      <c r="O9" s="56">
        <v>53.871527777777779</v>
      </c>
      <c r="P9" s="77">
        <v>9095</v>
      </c>
      <c r="Q9" s="166">
        <v>31.579861111111111</v>
      </c>
      <c r="R9" s="55">
        <v>9273.69</v>
      </c>
      <c r="S9" s="56">
        <v>32.200312500000003</v>
      </c>
      <c r="T9" s="55">
        <v>12037.5</v>
      </c>
      <c r="U9" s="56">
        <v>41.796875</v>
      </c>
    </row>
    <row r="10" spans="2:23" ht="18.5" x14ac:dyDescent="0.45">
      <c r="B10" s="19" t="s">
        <v>41</v>
      </c>
      <c r="C10" s="42" t="s">
        <v>11</v>
      </c>
      <c r="D10" s="42" t="s">
        <v>81</v>
      </c>
      <c r="E10" s="43" t="s">
        <v>0</v>
      </c>
      <c r="F10" s="114">
        <v>60171</v>
      </c>
      <c r="G10" s="116">
        <v>208.92708333333334</v>
      </c>
      <c r="H10" s="157">
        <v>53160</v>
      </c>
      <c r="I10" s="161">
        <v>184.58333333333334</v>
      </c>
      <c r="J10" s="162">
        <v>34240</v>
      </c>
      <c r="K10" s="59">
        <v>118.88888888888889</v>
      </c>
      <c r="L10" s="77">
        <v>27891.690000000002</v>
      </c>
      <c r="M10" s="166">
        <v>96.846145833333338</v>
      </c>
      <c r="N10" s="55">
        <v>20596.43</v>
      </c>
      <c r="O10" s="56">
        <v>71.515381944444442</v>
      </c>
      <c r="P10" s="77">
        <v>24966.31</v>
      </c>
      <c r="Q10" s="166">
        <v>86.68857638888889</v>
      </c>
      <c r="R10" s="55">
        <v>17120</v>
      </c>
      <c r="S10" s="56">
        <v>59.444444444444443</v>
      </c>
      <c r="T10" s="60">
        <v>0</v>
      </c>
      <c r="U10" s="56">
        <v>0</v>
      </c>
    </row>
    <row r="11" spans="2:23" ht="18.5" x14ac:dyDescent="0.45">
      <c r="B11" s="19" t="s">
        <v>69</v>
      </c>
      <c r="C11" s="42" t="s">
        <v>11</v>
      </c>
      <c r="D11" s="42" t="s">
        <v>81</v>
      </c>
      <c r="E11" s="43" t="s">
        <v>0</v>
      </c>
      <c r="F11" s="114">
        <v>144000</v>
      </c>
      <c r="G11" s="116">
        <v>500</v>
      </c>
      <c r="H11" s="157">
        <v>108000</v>
      </c>
      <c r="I11" s="161">
        <v>375</v>
      </c>
      <c r="J11" s="162">
        <v>51887.51</v>
      </c>
      <c r="K11" s="59">
        <v>180.16496527777778</v>
      </c>
      <c r="L11" s="77">
        <v>72225</v>
      </c>
      <c r="M11" s="166">
        <v>250.78125</v>
      </c>
      <c r="N11" s="55">
        <v>60053.75</v>
      </c>
      <c r="O11" s="56">
        <v>208.51996527777777</v>
      </c>
      <c r="P11" s="77">
        <v>56175</v>
      </c>
      <c r="Q11" s="166">
        <v>195.05208333333334</v>
      </c>
      <c r="R11" s="55">
        <v>43513.69</v>
      </c>
      <c r="S11" s="56">
        <v>151.08920138888891</v>
      </c>
      <c r="T11" s="55">
        <v>52162.5</v>
      </c>
      <c r="U11" s="56">
        <v>181.11979166666666</v>
      </c>
    </row>
    <row r="12" spans="2:23" ht="18.5" x14ac:dyDescent="0.45">
      <c r="B12" s="19" t="s">
        <v>42</v>
      </c>
      <c r="C12" s="42" t="s">
        <v>11</v>
      </c>
      <c r="D12" s="42" t="s">
        <v>81</v>
      </c>
      <c r="E12" s="43" t="s">
        <v>0</v>
      </c>
      <c r="F12" s="114">
        <v>223200</v>
      </c>
      <c r="G12" s="116">
        <v>775</v>
      </c>
      <c r="H12" s="157">
        <v>194400</v>
      </c>
      <c r="I12" s="161">
        <v>675</v>
      </c>
      <c r="J12" s="162">
        <v>50557.5</v>
      </c>
      <c r="K12" s="59">
        <v>175.546875</v>
      </c>
      <c r="L12" s="77">
        <v>58850</v>
      </c>
      <c r="M12" s="166">
        <v>204.34027777777777</v>
      </c>
      <c r="N12" s="55">
        <v>55640</v>
      </c>
      <c r="O12" s="56">
        <v>193.19444444444446</v>
      </c>
      <c r="P12" s="77">
        <v>49220</v>
      </c>
      <c r="Q12" s="166">
        <v>170.90277777777777</v>
      </c>
      <c r="R12" s="55">
        <v>30227.5</v>
      </c>
      <c r="S12" s="56">
        <v>104.95659722222223</v>
      </c>
      <c r="T12" s="55">
        <v>48417.5</v>
      </c>
      <c r="U12" s="56">
        <v>168.11631944444446</v>
      </c>
    </row>
    <row r="13" spans="2:23" ht="18.5" x14ac:dyDescent="0.45">
      <c r="B13" s="19" t="s">
        <v>70</v>
      </c>
      <c r="C13" s="42" t="s">
        <v>11</v>
      </c>
      <c r="D13" s="42" t="s">
        <v>81</v>
      </c>
      <c r="E13" s="43" t="s">
        <v>0</v>
      </c>
      <c r="F13" s="114">
        <v>74520</v>
      </c>
      <c r="G13" s="116">
        <v>258.75</v>
      </c>
      <c r="H13" s="157">
        <v>71280</v>
      </c>
      <c r="I13" s="161">
        <v>247.5</v>
      </c>
      <c r="J13" s="162">
        <v>32233.750000000004</v>
      </c>
      <c r="K13" s="59">
        <v>111.92274305555557</v>
      </c>
      <c r="L13" s="77">
        <v>31743.690000000002</v>
      </c>
      <c r="M13" s="166">
        <v>110.22114583333334</v>
      </c>
      <c r="N13" s="55">
        <v>43442</v>
      </c>
      <c r="O13" s="56">
        <v>150.84027777777777</v>
      </c>
      <c r="P13" s="77">
        <v>32635.000000000004</v>
      </c>
      <c r="Q13" s="166">
        <v>113.31597222222223</v>
      </c>
      <c r="R13" s="55">
        <v>26482.5</v>
      </c>
      <c r="S13" s="56">
        <v>91.953125</v>
      </c>
      <c r="T13" s="55">
        <v>49576.310000000005</v>
      </c>
      <c r="U13" s="56">
        <v>172.1399652777778</v>
      </c>
    </row>
    <row r="14" spans="2:23" ht="18.5" x14ac:dyDescent="0.45">
      <c r="B14" s="19" t="s">
        <v>46</v>
      </c>
      <c r="C14" s="42" t="s">
        <v>11</v>
      </c>
      <c r="D14" s="42" t="s">
        <v>23</v>
      </c>
      <c r="E14" s="43" t="s">
        <v>2</v>
      </c>
      <c r="F14" s="114">
        <v>57927</v>
      </c>
      <c r="G14" s="116">
        <v>201.13541666666666</v>
      </c>
      <c r="H14" s="157">
        <v>59400</v>
      </c>
      <c r="I14" s="161">
        <v>206.25</v>
      </c>
      <c r="J14" s="162">
        <v>28300.43</v>
      </c>
      <c r="K14" s="59">
        <v>98.265381944444442</v>
      </c>
      <c r="L14" s="77">
        <v>24312.54</v>
      </c>
      <c r="M14" s="166">
        <v>84.41854166666667</v>
      </c>
      <c r="N14" s="55">
        <v>24484.81</v>
      </c>
      <c r="O14" s="56">
        <v>85.01670138888889</v>
      </c>
      <c r="P14" s="77">
        <v>21281.23</v>
      </c>
      <c r="Q14" s="166">
        <v>73.893159722222222</v>
      </c>
      <c r="R14" s="55">
        <v>18278.810000000001</v>
      </c>
      <c r="S14" s="56">
        <v>63.468090277777783</v>
      </c>
      <c r="T14" s="55">
        <v>28462</v>
      </c>
      <c r="U14" s="56">
        <v>98.826388888888886</v>
      </c>
    </row>
    <row r="15" spans="2:23" ht="18.5" x14ac:dyDescent="0.45">
      <c r="B15" s="19" t="s">
        <v>47</v>
      </c>
      <c r="C15" s="42" t="s">
        <v>11</v>
      </c>
      <c r="D15" s="42" t="s">
        <v>23</v>
      </c>
      <c r="E15" s="43" t="s">
        <v>2</v>
      </c>
      <c r="F15" s="114">
        <v>57780</v>
      </c>
      <c r="G15" s="116">
        <v>200.625</v>
      </c>
      <c r="H15" s="157">
        <v>64080</v>
      </c>
      <c r="I15" s="161">
        <v>222.5</v>
      </c>
      <c r="J15" s="162">
        <v>28294.010000000002</v>
      </c>
      <c r="K15" s="59">
        <v>98.243090277777782</v>
      </c>
      <c r="L15" s="77">
        <v>29960</v>
      </c>
      <c r="M15" s="166">
        <v>104.02777777777777</v>
      </c>
      <c r="N15" s="55">
        <v>23540</v>
      </c>
      <c r="O15" s="56">
        <v>81.736111111111114</v>
      </c>
      <c r="P15" s="77">
        <v>21302.63</v>
      </c>
      <c r="Q15" s="166">
        <v>73.967465277777777</v>
      </c>
      <c r="R15" s="55">
        <v>15354.5</v>
      </c>
      <c r="S15" s="56">
        <v>53.314236111111114</v>
      </c>
      <c r="T15" s="55">
        <v>23540</v>
      </c>
      <c r="U15" s="56">
        <v>81.736111111111114</v>
      </c>
    </row>
    <row r="16" spans="2:23" ht="18.5" x14ac:dyDescent="0.45">
      <c r="B16" s="19" t="s">
        <v>48</v>
      </c>
      <c r="C16" s="42" t="s">
        <v>11</v>
      </c>
      <c r="D16" s="42" t="s">
        <v>23</v>
      </c>
      <c r="E16" s="43" t="s">
        <v>2</v>
      </c>
      <c r="F16" s="114">
        <v>45206</v>
      </c>
      <c r="G16" s="116">
        <v>156.96527777777777</v>
      </c>
      <c r="H16" s="157">
        <v>51192</v>
      </c>
      <c r="I16" s="161">
        <v>177.75</v>
      </c>
      <c r="J16" s="162">
        <v>23253.24</v>
      </c>
      <c r="K16" s="59">
        <v>80.740416666666675</v>
      </c>
      <c r="L16" s="77">
        <v>24566.13</v>
      </c>
      <c r="M16" s="166">
        <v>85.299062500000005</v>
      </c>
      <c r="N16" s="55">
        <v>17799.45</v>
      </c>
      <c r="O16" s="56">
        <v>61.803645833333334</v>
      </c>
      <c r="P16" s="77">
        <v>15931.230000000001</v>
      </c>
      <c r="Q16" s="166">
        <v>55.316770833333337</v>
      </c>
      <c r="R16" s="55">
        <v>14586.240000000002</v>
      </c>
      <c r="S16" s="56">
        <v>50.646666666666675</v>
      </c>
      <c r="T16" s="55">
        <v>23578.52</v>
      </c>
      <c r="U16" s="56">
        <v>81.869861111111106</v>
      </c>
    </row>
    <row r="17" spans="2:21" ht="18.5" x14ac:dyDescent="0.45">
      <c r="B17" s="19" t="s">
        <v>49</v>
      </c>
      <c r="C17" s="42" t="s">
        <v>11</v>
      </c>
      <c r="D17" s="42" t="s">
        <v>23</v>
      </c>
      <c r="E17" s="43" t="s">
        <v>2</v>
      </c>
      <c r="F17" s="114">
        <v>56400</v>
      </c>
      <c r="G17" s="116">
        <v>195.83333333333334</v>
      </c>
      <c r="H17" s="157">
        <v>54540</v>
      </c>
      <c r="I17" s="161">
        <v>189.375</v>
      </c>
      <c r="J17" s="162">
        <v>31831.43</v>
      </c>
      <c r="K17" s="59">
        <v>110.52579861111111</v>
      </c>
      <c r="L17" s="77">
        <v>28236.230000000003</v>
      </c>
      <c r="M17" s="166">
        <v>98.042465277777794</v>
      </c>
      <c r="N17" s="55">
        <v>22398.31</v>
      </c>
      <c r="O17" s="56">
        <v>77.771909722222233</v>
      </c>
      <c r="P17" s="77">
        <v>17284.780000000002</v>
      </c>
      <c r="Q17" s="166">
        <v>60.016597222222231</v>
      </c>
      <c r="R17" s="55">
        <v>19260</v>
      </c>
      <c r="S17" s="56">
        <v>66.875</v>
      </c>
      <c r="T17" s="55">
        <v>24342.5</v>
      </c>
      <c r="U17" s="56">
        <v>84.522569444444443</v>
      </c>
    </row>
    <row r="18" spans="2:21" ht="18.5" x14ac:dyDescent="0.45">
      <c r="B18" s="19" t="s">
        <v>50</v>
      </c>
      <c r="C18" s="42" t="s">
        <v>11</v>
      </c>
      <c r="D18" s="42" t="s">
        <v>23</v>
      </c>
      <c r="E18" s="43" t="s">
        <v>2</v>
      </c>
      <c r="F18" s="114">
        <v>48600</v>
      </c>
      <c r="G18" s="116">
        <v>168.75</v>
      </c>
      <c r="H18" s="157">
        <v>50760</v>
      </c>
      <c r="I18" s="161">
        <v>176.25</v>
      </c>
      <c r="J18" s="162">
        <v>22587.7</v>
      </c>
      <c r="K18" s="59">
        <v>78.429513888888891</v>
      </c>
      <c r="L18" s="77">
        <v>23513.25</v>
      </c>
      <c r="M18" s="166">
        <v>81.643229166666671</v>
      </c>
      <c r="N18" s="55">
        <v>18161.11</v>
      </c>
      <c r="O18" s="56">
        <v>63.059409722222227</v>
      </c>
      <c r="P18" s="77">
        <v>17412.11</v>
      </c>
      <c r="Q18" s="166">
        <v>60.458715277777777</v>
      </c>
      <c r="R18" s="55">
        <v>16718.75</v>
      </c>
      <c r="S18" s="56">
        <v>58.051215277777779</v>
      </c>
      <c r="T18" s="55">
        <v>26883.75</v>
      </c>
      <c r="U18" s="56">
        <v>93.346354166666671</v>
      </c>
    </row>
    <row r="19" spans="2:21" ht="18.5" x14ac:dyDescent="0.45">
      <c r="B19" s="19" t="s">
        <v>51</v>
      </c>
      <c r="C19" s="42" t="s">
        <v>11</v>
      </c>
      <c r="D19" s="42" t="s">
        <v>23</v>
      </c>
      <c r="E19" s="43" t="s">
        <v>4</v>
      </c>
      <c r="F19" s="114">
        <v>41310</v>
      </c>
      <c r="G19" s="116">
        <v>143.4375</v>
      </c>
      <c r="H19" s="157">
        <v>35100</v>
      </c>
      <c r="I19" s="161">
        <v>121.875</v>
      </c>
      <c r="J19" s="162">
        <v>15877.730000000001</v>
      </c>
      <c r="K19" s="59">
        <v>55.131006944444451</v>
      </c>
      <c r="L19" s="77">
        <v>17976</v>
      </c>
      <c r="M19" s="166">
        <v>62.416666666666664</v>
      </c>
      <c r="N19" s="55">
        <v>13102.150000000001</v>
      </c>
      <c r="O19" s="56">
        <v>45.493576388888897</v>
      </c>
      <c r="P19" s="77">
        <v>14111.160000000002</v>
      </c>
      <c r="Q19" s="166">
        <v>48.997083333333336</v>
      </c>
      <c r="R19" s="60">
        <v>0</v>
      </c>
      <c r="S19" s="56">
        <v>0</v>
      </c>
      <c r="T19" s="55">
        <v>17298.690000000002</v>
      </c>
      <c r="U19" s="56">
        <v>60.064895833333338</v>
      </c>
    </row>
    <row r="20" spans="2:21" ht="18.5" x14ac:dyDescent="0.45">
      <c r="B20" s="19" t="s">
        <v>52</v>
      </c>
      <c r="C20" s="42" t="s">
        <v>11</v>
      </c>
      <c r="D20" s="42" t="s">
        <v>23</v>
      </c>
      <c r="E20" s="43" t="s">
        <v>4</v>
      </c>
      <c r="F20" s="114">
        <v>30480</v>
      </c>
      <c r="G20" s="116">
        <v>105.83333333333333</v>
      </c>
      <c r="H20" s="157">
        <v>32130</v>
      </c>
      <c r="I20" s="161">
        <v>111.5625</v>
      </c>
      <c r="J20" s="162">
        <v>14155.03</v>
      </c>
      <c r="K20" s="59">
        <v>49.149409722222224</v>
      </c>
      <c r="L20" s="77">
        <v>15622</v>
      </c>
      <c r="M20" s="166">
        <v>54.243055555555557</v>
      </c>
      <c r="N20" s="55">
        <v>12746.91</v>
      </c>
      <c r="O20" s="56">
        <v>44.260104166666665</v>
      </c>
      <c r="P20" s="77">
        <v>11358.050000000001</v>
      </c>
      <c r="Q20" s="166">
        <v>39.437673611111116</v>
      </c>
      <c r="R20" s="55">
        <v>10935.400000000001</v>
      </c>
      <c r="S20" s="56">
        <v>37.970138888888897</v>
      </c>
      <c r="T20" s="55">
        <v>15563.150000000001</v>
      </c>
      <c r="U20" s="56">
        <v>54.038715277777783</v>
      </c>
    </row>
    <row r="21" spans="2:21" ht="18.5" x14ac:dyDescent="0.45">
      <c r="B21" s="19" t="s">
        <v>74</v>
      </c>
      <c r="C21" s="42" t="s">
        <v>13</v>
      </c>
      <c r="D21" s="42" t="s">
        <v>26</v>
      </c>
      <c r="E21" s="43" t="s">
        <v>4</v>
      </c>
      <c r="F21" s="114">
        <v>18468</v>
      </c>
      <c r="G21" s="116">
        <v>64.125</v>
      </c>
      <c r="H21" s="157">
        <v>18423.529411764706</v>
      </c>
      <c r="I21" s="161">
        <v>63.970588235294116</v>
      </c>
      <c r="J21" s="162">
        <v>9881.4500000000007</v>
      </c>
      <c r="K21" s="59">
        <v>34.310590277777777</v>
      </c>
      <c r="L21" s="77">
        <v>12258.990000000002</v>
      </c>
      <c r="M21" s="166">
        <v>42.565937500000004</v>
      </c>
      <c r="N21" s="55">
        <v>8745.11</v>
      </c>
      <c r="O21" s="56">
        <v>30.364965277777781</v>
      </c>
      <c r="P21" s="77">
        <v>7300.6100000000006</v>
      </c>
      <c r="Q21" s="166">
        <v>25.349340277777781</v>
      </c>
      <c r="R21" s="55">
        <v>4868.5</v>
      </c>
      <c r="S21" s="56">
        <v>16.904513888888889</v>
      </c>
      <c r="T21" s="55">
        <v>10430.36</v>
      </c>
      <c r="U21" s="56">
        <v>36.216527777777777</v>
      </c>
    </row>
    <row r="22" spans="2:21" ht="18.5" x14ac:dyDescent="0.45">
      <c r="B22" s="19" t="s">
        <v>75</v>
      </c>
      <c r="C22" s="42" t="s">
        <v>11</v>
      </c>
      <c r="D22" s="42" t="s">
        <v>82</v>
      </c>
      <c r="E22" s="43" t="s">
        <v>4</v>
      </c>
      <c r="F22" s="114">
        <v>59400</v>
      </c>
      <c r="G22" s="116">
        <v>206.25</v>
      </c>
      <c r="H22" s="157">
        <v>54000</v>
      </c>
      <c r="I22" s="161">
        <v>187.5</v>
      </c>
      <c r="J22" s="162">
        <v>24610</v>
      </c>
      <c r="K22" s="59">
        <v>85.451388888888886</v>
      </c>
      <c r="L22" s="77">
        <v>25680</v>
      </c>
      <c r="M22" s="166">
        <v>89.166666666666671</v>
      </c>
      <c r="N22" s="55">
        <v>23540</v>
      </c>
      <c r="O22" s="56">
        <v>81.736111111111114</v>
      </c>
      <c r="P22" s="77">
        <v>20330</v>
      </c>
      <c r="Q22" s="166">
        <v>70.590277777777771</v>
      </c>
      <c r="R22" s="60">
        <v>0</v>
      </c>
      <c r="S22" s="56">
        <v>0</v>
      </c>
      <c r="T22" s="60">
        <v>0</v>
      </c>
      <c r="U22" s="56">
        <v>0</v>
      </c>
    </row>
    <row r="23" spans="2:21" ht="19" thickBot="1" x14ac:dyDescent="0.5">
      <c r="B23" s="20" t="s">
        <v>76</v>
      </c>
      <c r="C23" s="44" t="s">
        <v>11</v>
      </c>
      <c r="D23" s="44" t="s">
        <v>24</v>
      </c>
      <c r="E23" s="45" t="s">
        <v>4</v>
      </c>
      <c r="F23" s="120">
        <v>21993</v>
      </c>
      <c r="G23" s="122">
        <v>76.364583333333329</v>
      </c>
      <c r="H23" s="158">
        <v>18360</v>
      </c>
      <c r="I23" s="164">
        <v>63.75</v>
      </c>
      <c r="J23" s="165">
        <v>10568.390000000001</v>
      </c>
      <c r="K23" s="61">
        <v>36.695798611111115</v>
      </c>
      <c r="L23" s="78">
        <v>11163.310000000001</v>
      </c>
      <c r="M23" s="172">
        <v>38.761493055555562</v>
      </c>
      <c r="N23" s="57">
        <v>9041.5</v>
      </c>
      <c r="O23" s="58">
        <v>31.394097222222221</v>
      </c>
      <c r="P23" s="78">
        <v>6696.06</v>
      </c>
      <c r="Q23" s="172">
        <v>23.250208333333333</v>
      </c>
      <c r="R23" s="57">
        <v>5189.5</v>
      </c>
      <c r="S23" s="58">
        <v>18.019097222222221</v>
      </c>
      <c r="T23" s="57">
        <v>10700</v>
      </c>
      <c r="U23" s="58">
        <v>37.152777777777779</v>
      </c>
    </row>
    <row r="24" spans="2:21" ht="18.5" x14ac:dyDescent="0.45">
      <c r="B24" s="7"/>
      <c r="C24" s="7"/>
      <c r="D24" s="10"/>
      <c r="E24" s="10"/>
      <c r="F24" s="163"/>
      <c r="G24" s="1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2:21" ht="18.5" x14ac:dyDescent="0.45">
      <c r="B25" s="179"/>
      <c r="C25" s="18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ht="18.5" x14ac:dyDescent="0.45">
      <c r="B26" s="67"/>
      <c r="C26" s="3"/>
    </row>
  </sheetData>
  <autoFilter ref="B5:U5" xr:uid="{CC37506B-882A-408C-9D4B-ED57B5BE91DA}">
    <sortState xmlns:xlrd2="http://schemas.microsoft.com/office/spreadsheetml/2017/richdata2" ref="B6:U23">
      <sortCondition ref="B5"/>
    </sortState>
  </autoFilter>
  <mergeCells count="10">
    <mergeCell ref="B25:C25"/>
    <mergeCell ref="T3:U3"/>
    <mergeCell ref="J3:K3"/>
    <mergeCell ref="L3:M3"/>
    <mergeCell ref="N3:O3"/>
    <mergeCell ref="P3:Q3"/>
    <mergeCell ref="R3:S3"/>
    <mergeCell ref="B3:D3"/>
    <mergeCell ref="H3:I3"/>
    <mergeCell ref="F3:G3"/>
  </mergeCells>
  <conditionalFormatting sqref="J9:J23 J6:J7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{6A0FCBFA-A670-4832-B0B6-8757B3C82C09}</x14:id>
        </ext>
      </extLst>
    </cfRule>
  </conditionalFormatting>
  <conditionalFormatting sqref="L9:L23 L6:L7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{65FDE261-FBCC-4A5B-9D9A-B48808484755}</x14:id>
        </ext>
      </extLst>
    </cfRule>
  </conditionalFormatting>
  <conditionalFormatting sqref="N9:N23 N6:N7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{76564B8B-B295-47E9-90B6-07B861D171AE}</x14:id>
        </ext>
      </extLst>
    </cfRule>
  </conditionalFormatting>
  <conditionalFormatting sqref="P9:P23 P6:P7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{7F58EE1A-7EF4-4860-9EB1-29290C500DC9}</x14:id>
        </ext>
      </extLst>
    </cfRule>
  </conditionalFormatting>
  <conditionalFormatting sqref="R9:R23 R6:R7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{710F9DDD-3651-449F-A26F-43E94C9A624C}</x14:id>
        </ext>
      </extLst>
    </cfRule>
  </conditionalFormatting>
  <conditionalFormatting sqref="T9:T23 T6:T7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{5C732EB1-7EF3-426B-A693-13EFE5D60B42}</x14:id>
        </ext>
      </extLst>
    </cfRule>
  </conditionalFormatting>
  <conditionalFormatting sqref="J5:J7 J9:J23">
    <cfRule type="dataBar" priority="49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{CBE14CA8-9817-9244-93FB-24B5CCE4D7FD}</x14:id>
        </ext>
      </extLst>
    </cfRule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{C8726464-8248-834A-92FE-CFD3D29194E5}</x14:id>
        </ext>
      </extLst>
    </cfRule>
  </conditionalFormatting>
  <conditionalFormatting sqref="L6:L7 N6:N7 P6:P7 R6:R7 T6:T7 T9:T23 R9:R23 P9:P23 N9:N23 L9:L23">
    <cfRule type="dataBar" priority="48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{9F212863-3D14-F940-8C77-014BF09AD589}</x14:id>
        </ext>
      </extLst>
    </cfRule>
  </conditionalFormatting>
  <conditionalFormatting sqref="H5 F5">
    <cfRule type="dataBar" priority="45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{B9A73CFB-D904-4D73-A707-8E78BB39BC1D}</x14:id>
        </ext>
      </extLst>
    </cfRule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{02C8DD31-FE54-4D4D-8DD8-D39378D4A0AA}</x14:id>
        </ext>
      </extLst>
    </cfRule>
  </conditionalFormatting>
  <conditionalFormatting sqref="H6:H23 J8 L8 N8 P8 R8 T8">
    <cfRule type="dataBar" priority="40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{70B4A666-4F54-4ABA-940A-069737D09BCE}</x14:id>
        </ext>
      </extLst>
    </cfRule>
    <cfRule type="dataBar" priority="4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{A286A656-E518-491B-8812-A55A6819D9D8}</x14:id>
        </ext>
      </extLst>
    </cfRule>
    <cfRule type="dataBar" priority="42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{950B55F0-9E5F-4DFD-BF0A-722B62433B18}</x14:id>
        </ext>
      </extLst>
    </cfRule>
    <cfRule type="dataBar" priority="43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{FEFF92B2-3426-4FC2-9B85-30EF242A9FE7}</x14:id>
        </ext>
      </extLst>
    </cfRule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{E7EE688D-4096-434D-BBCC-60E6004DF034}</x14:id>
        </ext>
      </extLst>
    </cfRule>
  </conditionalFormatting>
  <conditionalFormatting sqref="H6:I23 J8:U8">
    <cfRule type="dataBar" priority="33">
      <dataBar>
        <cfvo type="min"/>
        <cfvo type="max"/>
        <color rgb="FFFDF8EC"/>
      </dataBar>
      <extLst>
        <ext xmlns:x14="http://schemas.microsoft.com/office/spreadsheetml/2009/9/main" uri="{B025F937-C7B1-47D3-B67F-A62EFF666E3E}">
          <x14:id>{A8B3CCA8-E462-40CB-BE8E-AC02CDBFFA1E}</x14:id>
        </ext>
      </extLst>
    </cfRule>
    <cfRule type="dataBar" priority="34">
      <dataBar>
        <cfvo type="min"/>
        <cfvo type="max"/>
        <color rgb="FFFFF6E6"/>
      </dataBar>
      <extLst>
        <ext xmlns:x14="http://schemas.microsoft.com/office/spreadsheetml/2009/9/main" uri="{B025F937-C7B1-47D3-B67F-A62EFF666E3E}">
          <x14:id>{6A738AA2-8D84-4B7D-9A4E-A7336CD8AD39}</x14:id>
        </ext>
      </extLst>
    </cfRule>
    <cfRule type="dataBar" priority="35">
      <dataBar>
        <cfvo type="min"/>
        <cfvo type="max"/>
        <color rgb="FFFFF2EA"/>
      </dataBar>
      <extLst>
        <ext xmlns:x14="http://schemas.microsoft.com/office/spreadsheetml/2009/9/main" uri="{B025F937-C7B1-47D3-B67F-A62EFF666E3E}">
          <x14:id>{206B656F-1EB7-4736-B6BB-DC23E269DD01}</x14:id>
        </ext>
      </extLst>
    </cfRule>
    <cfRule type="dataBar" priority="36">
      <dataBar>
        <cfvo type="min"/>
        <cfvo type="max"/>
        <color rgb="FFB8ECAC"/>
      </dataBar>
      <extLst>
        <ext xmlns:x14="http://schemas.microsoft.com/office/spreadsheetml/2009/9/main" uri="{B025F937-C7B1-47D3-B67F-A62EFF666E3E}">
          <x14:id>{768E3AE2-AC71-4DCB-A20B-E34E90640A3F}</x14:id>
        </ext>
      </extLst>
    </cfRule>
    <cfRule type="dataBar" priority="37">
      <dataBar>
        <cfvo type="min"/>
        <cfvo type="max"/>
        <color rgb="FFB8ECAC"/>
      </dataBar>
      <extLst>
        <ext xmlns:x14="http://schemas.microsoft.com/office/spreadsheetml/2009/9/main" uri="{B025F937-C7B1-47D3-B67F-A62EFF666E3E}">
          <x14:id>{35845C32-A77F-4312-A95F-FBD71C9B16D7}</x14:id>
        </ext>
      </extLst>
    </cfRule>
    <cfRule type="dataBar" priority="38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{BE15F83B-68EE-4AFE-B901-6CDC4423594C}</x14:id>
        </ext>
      </extLst>
    </cfRule>
    <cfRule type="dataBar" priority="39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{7AB6B789-1A08-462F-BF9C-BCBFBC1F60F3}</x14:id>
        </ext>
      </extLst>
    </cfRule>
  </conditionalFormatting>
  <conditionalFormatting sqref="V8:W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{2D16C486-C223-4490-A3FB-F9B83D5C6596}</x14:id>
        </ext>
      </extLst>
    </cfRule>
  </conditionalFormatting>
  <conditionalFormatting sqref="V8:W8">
    <cfRule type="dataBar" priority="31">
      <dataBar>
        <cfvo type="min"/>
        <cfvo type="max"/>
        <color rgb="FFF9EEEE"/>
      </dataBar>
      <extLst>
        <ext xmlns:x14="http://schemas.microsoft.com/office/spreadsheetml/2009/9/main" uri="{B025F937-C7B1-47D3-B67F-A62EFF666E3E}">
          <x14:id>{44E51B1D-92C3-4B56-AD37-8A93A99E7700}</x14:id>
        </ext>
      </extLst>
    </cfRule>
  </conditionalFormatting>
  <conditionalFormatting sqref="V8:W8">
    <cfRule type="dataBar" priority="26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{2BA85036-65BF-4045-BC88-406D25501932}</x14:id>
        </ext>
      </extLst>
    </cfRule>
  </conditionalFormatting>
  <conditionalFormatting sqref="F24">
    <cfRule type="dataBar" priority="19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{4F3DA8DB-CEE1-4460-9772-2B16FC173570}</x14:id>
        </ext>
      </extLst>
    </cfRule>
    <cfRule type="dataBar" priority="20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{3B772F91-32C5-4292-9564-C3F7E6D3DECA}</x14:id>
        </ext>
      </extLst>
    </cfRule>
    <cfRule type="dataBar" priority="21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{B4A085B9-CCFF-415F-9721-E9E679D43927}</x14:id>
        </ext>
      </extLst>
    </cfRule>
    <cfRule type="dataBar" priority="22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{0A476772-042E-45FF-89EB-DBD3091A54AB}</x14:id>
        </ext>
      </extLst>
    </cfRule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{3572E7D2-58AA-405F-B438-7766630E73B1}</x14:id>
        </ext>
      </extLst>
    </cfRule>
  </conditionalFormatting>
  <conditionalFormatting sqref="F24:G24">
    <cfRule type="dataBar" priority="24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{1D7C1FB8-1FDE-49BA-8360-BEB054426A83}</x14:id>
        </ext>
      </extLst>
    </cfRule>
    <cfRule type="dataBar" priority="25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{E8DFBCD1-D877-4FC7-AC96-C73DF295F5D1}</x14:id>
        </ext>
      </extLst>
    </cfRule>
  </conditionalFormatting>
  <conditionalFormatting sqref="F6:F23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{B33619B5-D87F-414A-BB7F-98F307C2FA18}</x14:id>
        </ext>
      </extLst>
    </cfRule>
    <cfRule type="dataBar" priority="3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{36312A22-F375-4A96-8260-145521F6FC3A}</x14:id>
        </ext>
      </extLst>
    </cfRule>
    <cfRule type="dataBar" priority="4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{A5FE1ABA-7A5B-4051-9DF3-C28D329AE9AB}</x14:id>
        </ext>
      </extLst>
    </cfRule>
    <cfRule type="dataBar" priority="5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{5C45ACCD-9FAF-4503-9695-81EAE715162A}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{F0C8847D-716F-4A4B-9C09-8F2B90E5C318}</x14:id>
        </ext>
      </extLst>
    </cfRule>
  </conditionalFormatting>
  <conditionalFormatting sqref="F6:G23">
    <cfRule type="dataBar" priority="7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{6193A419-D132-4FDD-A8B1-A5EBC3D7BFA5}</x14:id>
        </ext>
      </extLst>
    </cfRule>
    <cfRule type="dataBar" priority="8">
      <dataBar>
        <cfvo type="min"/>
        <cfvo type="max"/>
        <color theme="6"/>
      </dataBar>
      <extLst>
        <ext xmlns:x14="http://schemas.microsoft.com/office/spreadsheetml/2009/9/main" uri="{B025F937-C7B1-47D3-B67F-A62EFF666E3E}">
          <x14:id>{83FE6974-37D2-4576-B2E5-2C09888CF992}</x14:id>
        </ext>
      </extLst>
    </cfRule>
    <cfRule type="dataBar" priority="1">
      <dataBar>
        <cfvo type="min"/>
        <cfvo type="max"/>
        <color rgb="FFFFF6E6"/>
      </dataBar>
      <extLst>
        <ext xmlns:x14="http://schemas.microsoft.com/office/spreadsheetml/2009/9/main" uri="{B025F937-C7B1-47D3-B67F-A62EFF666E3E}">
          <x14:id>{1B7B676E-DE06-45FA-ADDD-725ABE482A24}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0FCBFA-A670-4832-B0B6-8757B3C82C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J9:J23 J6:J7</xm:sqref>
        </x14:conditionalFormatting>
        <x14:conditionalFormatting xmlns:xm="http://schemas.microsoft.com/office/excel/2006/main">
          <x14:cfRule type="dataBar" id="{65FDE261-FBCC-4A5B-9D9A-B488084847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L9:L23 L6:L7</xm:sqref>
        </x14:conditionalFormatting>
        <x14:conditionalFormatting xmlns:xm="http://schemas.microsoft.com/office/excel/2006/main">
          <x14:cfRule type="dataBar" id="{76564B8B-B295-47E9-90B6-07B861D171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N9:N23 N6:N7</xm:sqref>
        </x14:conditionalFormatting>
        <x14:conditionalFormatting xmlns:xm="http://schemas.microsoft.com/office/excel/2006/main">
          <x14:cfRule type="dataBar" id="{7F58EE1A-7EF4-4860-9EB1-29290C500D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P9:P23 P6:P7</xm:sqref>
        </x14:conditionalFormatting>
        <x14:conditionalFormatting xmlns:xm="http://schemas.microsoft.com/office/excel/2006/main">
          <x14:cfRule type="dataBar" id="{710F9DDD-3651-449F-A26F-43E94C9A62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R9:R23 R6:R7</xm:sqref>
        </x14:conditionalFormatting>
        <x14:conditionalFormatting xmlns:xm="http://schemas.microsoft.com/office/excel/2006/main">
          <x14:cfRule type="dataBar" id="{5C732EB1-7EF3-426B-A693-13EFE5D60B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T9:T23 T6:T7</xm:sqref>
        </x14:conditionalFormatting>
        <x14:conditionalFormatting xmlns:xm="http://schemas.microsoft.com/office/excel/2006/main">
          <x14:cfRule type="dataBar" id="{CBE14CA8-9817-9244-93FB-24B5CCE4D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726464-8248-834A-92FE-CFD3D2919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J5:J7 J9:J23</xm:sqref>
        </x14:conditionalFormatting>
        <x14:conditionalFormatting xmlns:xm="http://schemas.microsoft.com/office/excel/2006/main">
          <x14:cfRule type="dataBar" id="{9F212863-3D14-F940-8C77-014BF09AD5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L6:L7 N6:N7 P6:P7 R6:R7 T6:T7 T9:T23 R9:R23 P9:P23 N9:N23 L9:L23</xm:sqref>
        </x14:conditionalFormatting>
        <x14:conditionalFormatting xmlns:xm="http://schemas.microsoft.com/office/excel/2006/main">
          <x14:cfRule type="dataBar" id="{B9A73CFB-D904-4D73-A707-8E78BB39B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2C8DD31-FE54-4D4D-8DD8-D39378D4A0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 F5</xm:sqref>
        </x14:conditionalFormatting>
        <x14:conditionalFormatting xmlns:xm="http://schemas.microsoft.com/office/excel/2006/main">
          <x14:cfRule type="dataBar" id="{70B4A666-4F54-4ABA-940A-069737D09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86A656-E518-491B-8812-A55A6819D9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50B55F0-9E5F-4DFD-BF0A-722B62433B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EFF92B2-3426-4FC2-9B85-30EF242A9F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7EE688D-4096-434D-BBCC-60E6004DF0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H6:H23 J8 L8 N8 P8 R8 T8</xm:sqref>
        </x14:conditionalFormatting>
        <x14:conditionalFormatting xmlns:xm="http://schemas.microsoft.com/office/excel/2006/main">
          <x14:cfRule type="dataBar" id="{A8B3CCA8-E462-40CB-BE8E-AC02CDBFFA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A738AA2-8D84-4B7D-9A4E-A7336CD8AD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06B656F-1EB7-4736-B6BB-DC23E269DD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68E3AE2-AC71-4DCB-A20B-E34E90640A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845C32-A77F-4312-A95F-FBD71C9B16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15F83B-68EE-4AFE-B901-6CDC442359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B6B789-1A08-462F-BF9C-BCBFBC1F60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H6:I23 J8:U8</xm:sqref>
        </x14:conditionalFormatting>
        <x14:conditionalFormatting xmlns:xm="http://schemas.microsoft.com/office/excel/2006/main">
          <x14:cfRule type="dataBar" id="{2D16C486-C223-4490-A3FB-F9B83D5C65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V8:W8</xm:sqref>
        </x14:conditionalFormatting>
        <x14:conditionalFormatting xmlns:xm="http://schemas.microsoft.com/office/excel/2006/main">
          <x14:cfRule type="dataBar" id="{44E51B1D-92C3-4B56-AD37-8A93A99E77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V8:W8</xm:sqref>
        </x14:conditionalFormatting>
        <x14:conditionalFormatting xmlns:xm="http://schemas.microsoft.com/office/excel/2006/main">
          <x14:cfRule type="dataBar" id="{2BA85036-65BF-4045-BC88-406D255019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V8:W8</xm:sqref>
        </x14:conditionalFormatting>
        <x14:conditionalFormatting xmlns:xm="http://schemas.microsoft.com/office/excel/2006/main">
          <x14:cfRule type="dataBar" id="{4F3DA8DB-CEE1-4460-9772-2B16FC1735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B772F91-32C5-4292-9564-C3F7E6D3D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4A085B9-CCFF-415F-9721-E9E679D43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A476772-042E-45FF-89EB-DBD3091A54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72E7D2-58AA-405F-B438-7766630E7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</xm:sqref>
        </x14:conditionalFormatting>
        <x14:conditionalFormatting xmlns:xm="http://schemas.microsoft.com/office/excel/2006/main">
          <x14:cfRule type="dataBar" id="{1D7C1FB8-1FDE-49BA-8360-BEB054426A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DFBCD1-D877-4FC7-AC96-C73DF295F5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F24:G24</xm:sqref>
        </x14:conditionalFormatting>
        <x14:conditionalFormatting xmlns:xm="http://schemas.microsoft.com/office/excel/2006/main">
          <x14:cfRule type="dataBar" id="{B33619B5-D87F-414A-BB7F-98F307C2F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6312A22-F375-4A96-8260-145521F6FC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5FE1ABA-7A5B-4051-9DF3-C28D329AE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C45ACCD-9FAF-4503-9695-81EAE71516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C8847D-716F-4A4B-9C09-8F2B90E5C3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F6:F23</xm:sqref>
        </x14:conditionalFormatting>
        <x14:conditionalFormatting xmlns:xm="http://schemas.microsoft.com/office/excel/2006/main">
          <x14:cfRule type="dataBar" id="{6193A419-D132-4FDD-A8B1-A5EBC3D7BF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3FE6974-37D2-4576-B2E5-2C09888CF9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B7B676E-DE06-45FA-ADDD-725ABE482A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F6:G23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8C502-E708-44EA-BEF6-8B23C611DF62}">
  <dimension ref="B2:N7"/>
  <sheetViews>
    <sheetView zoomScale="70" zoomScaleNormal="70" workbookViewId="0"/>
  </sheetViews>
  <sheetFormatPr defaultRowHeight="14.5" x14ac:dyDescent="0.35"/>
  <cols>
    <col min="1" max="1" width="1.6328125" style="110" customWidth="1"/>
    <col min="2" max="2" width="13.453125" style="110" customWidth="1"/>
    <col min="3" max="3" width="81.26953125" style="110" customWidth="1"/>
    <col min="4" max="6" width="16.7265625" style="110" customWidth="1"/>
    <col min="7" max="7" width="17.54296875" style="110" customWidth="1"/>
    <col min="8" max="10" width="14" style="110" customWidth="1"/>
    <col min="11" max="14" width="14.7265625" style="110" customWidth="1"/>
    <col min="15" max="16384" width="8.7265625" style="110"/>
  </cols>
  <sheetData>
    <row r="2" spans="2:14" ht="15" thickBot="1" x14ac:dyDescent="0.4"/>
    <row r="3" spans="2:14" ht="21.5" thickBot="1" x14ac:dyDescent="0.4">
      <c r="B3" s="200" t="s">
        <v>89</v>
      </c>
      <c r="C3" s="201"/>
      <c r="D3" s="201"/>
      <c r="E3" s="202">
        <v>2022</v>
      </c>
      <c r="F3" s="203"/>
      <c r="G3" s="198">
        <v>2021</v>
      </c>
      <c r="H3" s="199"/>
      <c r="I3" s="198">
        <v>2020</v>
      </c>
      <c r="J3" s="199"/>
      <c r="K3" s="198">
        <v>2019</v>
      </c>
      <c r="L3" s="199"/>
      <c r="M3" s="198">
        <v>2018</v>
      </c>
      <c r="N3" s="199"/>
    </row>
    <row r="4" spans="2:14" ht="21.5" thickBot="1" x14ac:dyDescent="0.4">
      <c r="B4" s="123"/>
      <c r="C4" s="124"/>
      <c r="D4" s="124"/>
      <c r="E4" s="124"/>
      <c r="F4" s="124"/>
      <c r="G4" s="131"/>
      <c r="H4" s="131"/>
      <c r="I4" s="130"/>
      <c r="J4" s="132"/>
      <c r="K4" s="131"/>
      <c r="L4" s="131"/>
      <c r="M4" s="130"/>
      <c r="N4" s="132"/>
    </row>
    <row r="5" spans="2:14" ht="21.5" thickBot="1" x14ac:dyDescent="0.55000000000000004">
      <c r="B5" s="16" t="s">
        <v>5</v>
      </c>
      <c r="C5" s="21" t="s">
        <v>28</v>
      </c>
      <c r="D5" s="21" t="s">
        <v>4</v>
      </c>
      <c r="E5" s="82" t="s">
        <v>90</v>
      </c>
      <c r="F5" s="133" t="s">
        <v>3</v>
      </c>
      <c r="G5" s="128" t="s">
        <v>90</v>
      </c>
      <c r="H5" s="129" t="s">
        <v>3</v>
      </c>
      <c r="I5" s="128" t="s">
        <v>90</v>
      </c>
      <c r="J5" s="129" t="s">
        <v>3</v>
      </c>
      <c r="K5" s="128" t="s">
        <v>90</v>
      </c>
      <c r="L5" s="129" t="s">
        <v>3</v>
      </c>
      <c r="M5" s="82" t="s">
        <v>90</v>
      </c>
      <c r="N5" s="133" t="s">
        <v>3</v>
      </c>
    </row>
    <row r="6" spans="2:14" ht="18.5" x14ac:dyDescent="0.45">
      <c r="B6" s="111" t="s">
        <v>85</v>
      </c>
      <c r="C6" s="112" t="s">
        <v>87</v>
      </c>
      <c r="D6" s="113" t="s">
        <v>88</v>
      </c>
      <c r="E6" s="159">
        <v>6255</v>
      </c>
      <c r="F6" s="160">
        <f t="shared" ref="F6:F7" si="0">E6/288</f>
        <v>21.71875</v>
      </c>
      <c r="G6" s="114">
        <f>28512/6</f>
        <v>4752</v>
      </c>
      <c r="H6" s="115">
        <f t="shared" ref="H6:N7" si="1">G6/288</f>
        <v>16.5</v>
      </c>
      <c r="I6" s="114">
        <v>1500</v>
      </c>
      <c r="J6" s="116">
        <f t="shared" si="1"/>
        <v>5.208333333333333</v>
      </c>
      <c r="K6" s="114">
        <v>1025</v>
      </c>
      <c r="L6" s="115">
        <f t="shared" si="1"/>
        <v>3.5590277777777777</v>
      </c>
      <c r="M6" s="114">
        <v>675</v>
      </c>
      <c r="N6" s="116">
        <f t="shared" si="1"/>
        <v>2.34375</v>
      </c>
    </row>
    <row r="7" spans="2:14" ht="19" thickBot="1" x14ac:dyDescent="0.5">
      <c r="B7" s="117" t="s">
        <v>85</v>
      </c>
      <c r="C7" s="118" t="s">
        <v>86</v>
      </c>
      <c r="D7" s="119" t="s">
        <v>88</v>
      </c>
      <c r="E7" s="120">
        <v>12528</v>
      </c>
      <c r="F7" s="122">
        <f t="shared" si="0"/>
        <v>43.5</v>
      </c>
      <c r="G7" s="120">
        <v>21600</v>
      </c>
      <c r="H7" s="121">
        <f t="shared" si="1"/>
        <v>75</v>
      </c>
      <c r="I7" s="120">
        <v>2500</v>
      </c>
      <c r="J7" s="122">
        <f t="shared" si="1"/>
        <v>8.6805555555555554</v>
      </c>
      <c r="K7" s="120">
        <v>2500</v>
      </c>
      <c r="L7" s="121">
        <f>K7/288</f>
        <v>8.6805555555555554</v>
      </c>
      <c r="M7" s="120">
        <v>2400</v>
      </c>
      <c r="N7" s="122">
        <f t="shared" si="1"/>
        <v>8.3333333333333339</v>
      </c>
    </row>
  </sheetData>
  <autoFilter ref="D5:N5" xr:uid="{A36AA35B-9C75-441D-8BC3-2E7A97207975}"/>
  <mergeCells count="6">
    <mergeCell ref="I3:J3"/>
    <mergeCell ref="K3:L3"/>
    <mergeCell ref="M3:N3"/>
    <mergeCell ref="B3:D3"/>
    <mergeCell ref="G3:H3"/>
    <mergeCell ref="E3:F3"/>
  </mergeCells>
  <conditionalFormatting sqref="H5 F5">
    <cfRule type="dataBar" priority="37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{69BF84B7-A8B6-4958-87C1-769DE42EA7B5}</x14:id>
        </ext>
      </extLst>
    </cfRule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{0C72234B-E21C-494B-9314-B7265E614093}</x14:id>
        </ext>
      </extLst>
    </cfRule>
  </conditionalFormatting>
  <conditionalFormatting sqref="G6:G7 E6:E7">
    <cfRule type="dataBar" priority="19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{F9822B29-D01F-4B3C-8E14-B9FD48CE785C}</x14:id>
        </ext>
      </extLst>
    </cfRule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{F7C2035F-4E5F-4321-B24F-8A2B78584EA6}</x14:id>
        </ext>
      </extLst>
    </cfRule>
  </conditionalFormatting>
  <conditionalFormatting sqref="J6:J7 L6:L7 N6:N7 E6:H7">
    <cfRule type="dataBar" priority="24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{259B9DF1-E979-4316-8A23-D938E459EFC3}</x14:id>
        </ext>
      </extLst>
    </cfRule>
  </conditionalFormatting>
  <conditionalFormatting sqref="I6:I7">
    <cfRule type="dataBar" priority="13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{334CB807-9394-49FB-8221-EFF17637EEA5}</x14:id>
        </ext>
      </extLst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{290164E6-B7BA-4800-9B50-8FC8C69A21F2}</x14:id>
        </ext>
      </extLst>
    </cfRule>
  </conditionalFormatting>
  <conditionalFormatting sqref="I6:I7">
    <cfRule type="dataBar" priority="15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{E77D46ED-4E3B-44BA-A31E-338F6011F92E}</x14:id>
        </ext>
      </extLst>
    </cfRule>
  </conditionalFormatting>
  <conditionalFormatting sqref="K6:K7">
    <cfRule type="dataBar" priority="10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{1DE870F8-C306-48EB-BC5B-0C1093633ED2}</x14:id>
        </ext>
      </extLst>
    </cfRule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{85382B7B-261D-4397-8D93-1FF6C6832A98}</x14:id>
        </ext>
      </extLst>
    </cfRule>
  </conditionalFormatting>
  <conditionalFormatting sqref="K6:K7">
    <cfRule type="dataBar" priority="12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{B91CCF13-232A-480C-835E-C252B5A7DE4D}</x14:id>
        </ext>
      </extLst>
    </cfRule>
  </conditionalFormatting>
  <conditionalFormatting sqref="M6:M7">
    <cfRule type="dataBar" priority="7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{46FDDAE9-8F96-4A8D-8771-364ED500B2D6}</x14:id>
        </ext>
      </extLs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{0663E545-14BF-4FB8-A526-DBB80CC01EBB}</x14:id>
        </ext>
      </extLst>
    </cfRule>
  </conditionalFormatting>
  <conditionalFormatting sqref="M6:M7">
    <cfRule type="dataBar" priority="9">
      <dataBar>
        <cfvo type="min"/>
        <cfvo type="max"/>
        <color theme="8" tint="0.79998168889431442"/>
      </dataBar>
      <extLst>
        <ext xmlns:x14="http://schemas.microsoft.com/office/spreadsheetml/2009/9/main" uri="{B025F937-C7B1-47D3-B67F-A62EFF666E3E}">
          <x14:id>{6ACA2C54-F3DB-40CF-A29C-83D2F46ABC0A}</x14:id>
        </ext>
      </extLst>
    </cfRule>
  </conditionalFormatting>
  <conditionalFormatting sqref="J5">
    <cfRule type="dataBar" priority="5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{DB2C1E68-0845-49BC-9D97-932CF70B8CB0}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{450D7934-7365-4DF1-97FF-B396BDE2D7F4}</x14:id>
        </ext>
      </extLst>
    </cfRule>
  </conditionalFormatting>
  <conditionalFormatting sqref="L5">
    <cfRule type="dataBar" priority="3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{CAE14AF8-E7D6-4F66-A1F8-8E93A840E237}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{090BD259-9D51-4260-8D6F-1564B09EA698}</x14:id>
        </ext>
      </extLst>
    </cfRule>
  </conditionalFormatting>
  <conditionalFormatting sqref="N5">
    <cfRule type="dataBar" priority="1">
      <dataBar>
        <cfvo type="min"/>
        <cfvo type="max"/>
        <color rgb="FFFFF8ED"/>
      </dataBar>
      <extLst>
        <ext xmlns:x14="http://schemas.microsoft.com/office/spreadsheetml/2009/9/main" uri="{B025F937-C7B1-47D3-B67F-A62EFF666E3E}">
          <x14:id>{F7133173-1872-49C8-9272-64D1DD986F34}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{507F6B8C-731B-4DE5-9F83-CF419E983B42}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BF84B7-A8B6-4958-87C1-769DE42EA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72234B-E21C-494B-9314-B7265E6140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 F5</xm:sqref>
        </x14:conditionalFormatting>
        <x14:conditionalFormatting xmlns:xm="http://schemas.microsoft.com/office/excel/2006/main">
          <x14:cfRule type="dataBar" id="{F9822B29-D01F-4B3C-8E14-B9FD48CE78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7C2035F-4E5F-4321-B24F-8A2B78584E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G6:G7 E6:E7</xm:sqref>
        </x14:conditionalFormatting>
        <x14:conditionalFormatting xmlns:xm="http://schemas.microsoft.com/office/excel/2006/main">
          <x14:cfRule type="dataBar" id="{259B9DF1-E979-4316-8A23-D938E459EF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J6:J7 L6:L7 N6:N7 E6:H7</xm:sqref>
        </x14:conditionalFormatting>
        <x14:conditionalFormatting xmlns:xm="http://schemas.microsoft.com/office/excel/2006/main">
          <x14:cfRule type="dataBar" id="{334CB807-9394-49FB-8221-EFF17637E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90164E6-B7BA-4800-9B50-8FC8C69A21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I6:I7</xm:sqref>
        </x14:conditionalFormatting>
        <x14:conditionalFormatting xmlns:xm="http://schemas.microsoft.com/office/excel/2006/main">
          <x14:cfRule type="dataBar" id="{E77D46ED-4E3B-44BA-A31E-338F6011F9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I6:I7</xm:sqref>
        </x14:conditionalFormatting>
        <x14:conditionalFormatting xmlns:xm="http://schemas.microsoft.com/office/excel/2006/main">
          <x14:cfRule type="dataBar" id="{1DE870F8-C306-48EB-BC5B-0C1093633E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5382B7B-261D-4397-8D93-1FF6C6832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K6:K7</xm:sqref>
        </x14:conditionalFormatting>
        <x14:conditionalFormatting xmlns:xm="http://schemas.microsoft.com/office/excel/2006/main">
          <x14:cfRule type="dataBar" id="{B91CCF13-232A-480C-835E-C252B5A7DE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K6:K7</xm:sqref>
        </x14:conditionalFormatting>
        <x14:conditionalFormatting xmlns:xm="http://schemas.microsoft.com/office/excel/2006/main">
          <x14:cfRule type="dataBar" id="{46FDDAE9-8F96-4A8D-8771-364ED500B2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663E545-14BF-4FB8-A526-DBB80CC01E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M6:M7</xm:sqref>
        </x14:conditionalFormatting>
        <x14:conditionalFormatting xmlns:xm="http://schemas.microsoft.com/office/excel/2006/main">
          <x14:cfRule type="dataBar" id="{6ACA2C54-F3DB-40CF-A29C-83D2F46AB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M6:M7</xm:sqref>
        </x14:conditionalFormatting>
        <x14:conditionalFormatting xmlns:xm="http://schemas.microsoft.com/office/excel/2006/main">
          <x14:cfRule type="dataBar" id="{DB2C1E68-0845-49BC-9D97-932CF70B8C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50D7934-7365-4DF1-97FF-B396BDE2D7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</xm:sqref>
        </x14:conditionalFormatting>
        <x14:conditionalFormatting xmlns:xm="http://schemas.microsoft.com/office/excel/2006/main">
          <x14:cfRule type="dataBar" id="{CAE14AF8-E7D6-4F66-A1F8-8E93A840E2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90BD259-9D51-4260-8D6F-1564B09EA6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F7133173-1872-49C8-9272-64D1DD986F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07F6B8C-731B-4DE5-9F83-CF419E983B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w E A A B Q S w M E F A A C A A g A U k 8 + U + 6 D e F y p A A A A + A A A A B I A H A B D b 2 5 m a W c v U G F j a 2 F n Z S 5 4 b W w g o h g A K K A U A A A A A A A A A A A A A A A A A A A A A A A A A A A A h Y / R C o I w G I V f R X b v N s 1 Q 5 H d e B F 0 l R E F 0 O 9 b U k c 5 w s / l u X f R I v U J C W d 1 1 e Q 7 f g e 8 8 b n f I x 7 b x r r I 3 q t M Z C j B F n t S i O y l d Z W i w p Z + g n M G W i z O v p D f B 2 q S j U R m q r b 2 k h D j n s F v g r q 9 I S G l A j s V m L 2 r Z c l 9 p Y 7 k W E n 1 W p / 8 r x O D w k m E h j h O 8 j C O K o y Q A M t d Q K P 1 F w s k Y U y A / J a y G x g 6 9 Z G X v r 3 d A 5 g j k / Y I 9 A V B L A w Q U A A I A C A B S T z 5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k 8 + U z G R Z s f x A Q A A C Q U A A B M A H A B G b 3 J t d W x h c y 9 T Z W N 0 a W 9 u M S 5 t I K I Y A C i g F A A A A A A A A A A A A A A A A A A A A A A A A A A A A K 2 T X W / a M B S G 7 5 H 4 D 1 Z 6 A 1 K I S t R V 2 q p c d A l d k d a J E d g u y l Q Z 5 z Q c y b G R P 6 A M 9 b / P A a Z + x N n V c u P k f V 6 / P s d 2 N D C D U p D 8 O A 6 v u p 1 u R 6 + o g o K c B S N t s K I 1 0 A M 3 s h U U g / g 8 H j 6 c f 3 y I L w Z r h c w p 8 9 w j j q y S a 3 g F A p I Q D q b b I e 7 J p V U M n J L q T Z R J Z i s Q p n e D H K J U C u M + d C 9 I P y 3 m G p R e c G l R Q 6 Q p i g J c / A r F I p N b w S U t 9 O J / F h k x v Q n 6 4 X 0 G H C s 0 o J I g D E K S S m 4 r o Z P 4 M i Q j w W S B o k y G 8 Y c 4 J N + t N J C b H Y f k 5 T X 6 J g X 8 6 o f H Z s + C i Z K V Y w W 5 B e o 6 0 P V e z O j S G U / k p P e O + x K S + 5 N + z X n O K K d K J 0 b Z 1 5 H p i o r S J c 5 2 a 3 i J m y k q 9 K N U 1 b H i G u q e Z / 1 w v w 8 y 0 E z h u t 4 4 1 6 J x V m L g y T y H Z B 8 c U t + L L l M q j 2 q F U b u G P o X S l 5 z b J W l B K a d a 4 y M y 6 q 3 J 1 Y u l 8 L O J l I r c 1 Y d P b j g t G / y 6 W m J p p d X E b U V h G S i / 7 y c K I O O i o X 9 R c u v m e E g 9 o 1 n O a R E P g A J Z f R K T + g a S u W 4 m f p V b c r r T f s M t l q t / O 6 b g / p t N S / w W B R l n T h 8 L c 3 k R 1 U d 9 A D 9 Q G F p C E 3 y W x n A g O f 4 G c s d b + e E i N O n 7 l n u j + b T f t L 3 p u s X z t v E W 0 9 / e P f i 5 3 + 2 g 8 P 5 B V 3 8 A U E s B A i 0 A F A A C A A g A U k 8 + U + 6 D e F y p A A A A + A A A A B I A A A A A A A A A A A A A A A A A A A A A A E N v b m Z p Z y 9 Q Y W N r Y W d l L n h t b F B L A Q I t A B Q A A g A I A F J P P l M P y u m r p A A A A O k A A A A T A A A A A A A A A A A A A A A A A P U A A A B b Q 2 9 u d G V u d F 9 U e X B l c 1 0 u e G 1 s U E s B A i 0 A F A A C A A g A U k 8 + U z G R Z s f x A Q A A C Q U A A B M A A A A A A A A A A A A A A A A A 5 g E A A E Z v c m 1 1 b G F z L 1 N l Y 3 R p b 2 4 x L m 1 Q S w U G A A A A A A M A A w D C A A A A J A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y U A A A A A A A B F J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z d G l t Y X R p b 2 5 z L W 1 h d G N o Z W Q t M j A y M V 8 w O V 8 y N C 1 w c m l j Z W Q t V V M t M j A y M V 8 w O V 8 y N C 1 w c m l j Z W Q t R X V y b 3 B l L T I w M j F f M D l f M j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O S 0 y N F Q x N T o 0 N z o x N i 4 z M z c 2 N D Q 0 W i I g L z 4 8 R W 5 0 c n k g V H l w Z T 0 i R m l s b E N v b H V t b l R 5 c G V z I i B W Y W x 1 Z T 0 i c 0 J n W U d C Z 1 l H Q m d Z R 0 J n W U d C Z 1 l H Q m d Z R 0 F 3 T U R B d 0 1 E Q X d N P S I g L z 4 8 R W 5 0 c n k g V H l w Z T 0 i R m l s b E N v b H V t b k 5 h b W V z I i B W Y W x 1 Z T 0 i c 1 s m c X V v d D t E Z X N j c m l w d G l v b i Z x d W 9 0 O y w m c X V v d D t U e X B l J n F 1 b 3 Q 7 L C Z x d W 9 0 O 0 N v b G 9 y J n F 1 b 3 Q 7 L C Z x d W 9 0 O 0 N v d W 5 0 c n k m c X V v d D s s J n F 1 b 3 Q 7 U m V n a W 9 u J n F 1 b 3 Q 7 L C Z x d W 9 0 O 1 N 1 Y i B S Z W d p b 2 4 m c X V v d D s s J n F 1 b 3 Q 7 Q 2 x h c 3 N p Z m l j Y X R p b 2 4 m c X V v d D s s J n F 1 b 3 Q 7 R G V z a W d u Y X R p b 2 4 m c X V v d D s s J n F 1 b 3 Q 7 U G 9 v c i B N Y X R j a C B G b G F n J n F 1 b 3 Q 7 L C Z x d W 9 0 O 0 F t Y m l n d W 9 1 c y B Q c m 9 k d W N l c i B G b G F n J n F 1 b 3 Q 7 L C Z x d W 9 0 O 1 d p b m U g S W Q m c X V v d D s s J n F 1 b 3 Q 7 R 3 J v d 2 V y I E l k J n F 1 b 3 Q 7 L C Z x d W 9 0 O 1 d p b m U m c X V v d D s s J n F 1 b 3 Q 7 U H J v Z H V j Z X I m c X V v d D s s J n F 1 b 3 Q 7 U H J l Z G l j d G V k I F B y a W N l I F V z Z C Z x d W 9 0 O y w m c X V v d D t M b 3 c g R X N 0 a W 1 h d G U g V X N k J n F 1 b 3 Q 7 L C Z x d W 9 0 O 0 h p Z 2 g g R X N 0 a W 1 h d G U g V X N k J n F 1 b 3 Q 7 L C Z x d W 9 0 O 1 J l c 2 V y d m U g V X N k J n F 1 b 3 Q 7 L C Z x d W 9 0 O 0 x 3 a W 4 g S U Q m c X V v d D s s J n F 1 b 3 Q 7 V m l u d G F n Z S Z x d W 9 0 O y w m c X V v d D t C b 3 R 0 b G U g U 2 l 6 Z S B N b C Z x d W 9 0 O y w m c X V v d D t C b 3 R 0 b G U g Q 2 9 1 b n Q m c X V v d D s s J n F 1 b 3 Q 7 U H J l Z G l j d G V k I F B y a W N l I C h F V V I p J n F 1 b 3 Q 7 L C Z x d W 9 0 O 0 x v d y B F c 3 R p b W F 0 Z S A o R V V S K S Z x d W 9 0 O y w m c X V v d D t I a W d o I E V z d G l t Y X R l I C h F V V I p J n F 1 b 3 Q 7 L C Z x d W 9 0 O 1 J l c 2 V y d m U g K E V V U i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R l c 2 N y a X B 0 a W 9 u L D B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U e X B l L D F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D b 2 x v c i w y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Q 2 9 1 b n R y e S w z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U m V n a W 9 u L D R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T d W I g U m V n a W 9 u L D V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D b G F z c 2 l m a W N h d G l v b i w 2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R G V z a W d u Y X R p b 2 4 s N 3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B v b 3 I g T W F 0 Y 2 g g R m x h Z y w 4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Q W 1 i a W d 1 b 3 V z I F B y b 2 R 1 Y 2 V y I E Z s Y W c s O X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d p b m U g S W Q s M T B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H c m 9 3 Z X I g S W Q s M T F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X a W 5 l L D E y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U H J v Z H V j Z X I s M T N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Q c m V k a W N 0 Z W Q g U H J p Y 2 U g V X N k L D E 0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T G 9 3 I E V z d G l t Y X R l I F V z Z C w x N X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h p Z 2 g g R X N 0 a W 1 h d G U g V X N k L D E 2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U m V z Z X J 2 Z S B V c 2 Q s M T d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M d 2 l u I E l E L D E 4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V m l u d G F n Z S w x O X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J v d H R s Z S B T a X p l I E 1 s L D I w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Q m 9 0 d G x l I E N v d W 5 0 L D I x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U H J l Z G l j d G V k I F B y a W N l I C h F V V I p L D I y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T G 9 3 I E V z d G l t Y X R l I C h F V V I p L D I z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S G l n a C B F c 3 R p b W F 0 Z S A o R V V S K S w y N H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J l c 2 V y d m U g K E V V U i k s M j V 9 J n F 1 b 3 Q 7 X S w m c X V v d D t D b 2 x 1 b W 5 D b 3 V u d C Z x d W 9 0 O z o y N i w m c X V v d D t L Z X l D b 2 x 1 b W 5 O Y W 1 l c y Z x d W 9 0 O z p b X S w m c X V v d D t D b 2 x 1 b W 5 J Z G V u d G l 0 a W V z J n F 1 b 3 Q 7 O l s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R G V z Y 3 J p c H R p b 2 4 s M H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R 5 c G U s M X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N v b G 9 y L D J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D b 3 V u d H J 5 L D N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S Z W d p b 2 4 s N H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N 1 Y i B S Z W d p b 2 4 s N X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N s Y X N z a W Z p Y 2 F 0 a W 9 u L D Z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E Z X N p Z 2 5 h d G l v b i w 3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U G 9 v c i B N Y X R j a C B G b G F n L D h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B b W J p Z 3 V v d X M g U H J v Z H V j Z X I g R m x h Z y w 5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V 2 l u Z S B J Z C w x M H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d y b 3 d l c i B J Z C w x M X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d p b m U s M T J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Q c m 9 k d W N l c i w x M 3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1 B y Z W R p Y 3 R l Z C B Q c m l j Z S B V c 2 Q s M T R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M b 3 c g R X N 0 a W 1 h d G U g V X N k L D E 1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S G l n a C B F c 3 R p b W F 0 Z S B V c 2 Q s M T Z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S Z X N l c n Z l I F V z Z C w x N 3 0 m c X V v d D s s J n F 1 b 3 Q 7 U 2 V j d G l v b j E v R X N 0 a W 1 h d G l v b n M t b W F 0 Y 2 h l Z C 0 y M D I x X z A 5 X z I 0 L X B y a W N l Z C 1 V U y 0 y M D I x X z A 5 X z I 0 L X B y a W N l Z C 1 F d X J v c G U t M j A y M V 8 w O V 8 y N C 9 D a G F u Z 2 V k I F R 5 c G U u e 0 x 3 a W 4 g S U Q s M T h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W a W 5 0 Y W d l L D E 5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Q m 9 0 d G x l I F N p e m U g T W w s M j B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C b 3 R 0 b G U g Q 2 9 1 b n Q s M j F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Q c m V k a W N 0 Z W Q g U H J p Y 2 U g K E V V U i k s M j J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M b 3 c g R X N 0 a W 1 h d G U g K E V V U i k s M j N 9 J n F 1 b 3 Q 7 L C Z x d W 9 0 O 1 N l Y 3 R p b 2 4 x L 0 V z d G l t Y X R p b 2 5 z L W 1 h d G N o Z W Q t M j A y M V 8 w O V 8 y N C 1 w c m l j Z W Q t V V M t M j A y M V 8 w O V 8 y N C 1 w c m l j Z W Q t R X V y b 3 B l L T I w M j F f M D l f M j Q v Q 2 h h b m d l Z C B U e X B l L n t I a W d o I E V z d G l t Y X R l I C h F V V I p L D I 0 f S Z x d W 9 0 O y w m c X V v d D t T Z W N 0 a W 9 u M S 9 F c 3 R p b W F 0 a W 9 u c y 1 t Y X R j a G V k L T I w M j F f M D l f M j Q t c H J p Y 2 V k L V V T L T I w M j F f M D l f M j Q t c H J p Y 2 V k L U V 1 c m 9 w Z S 0 y M D I x X z A 5 X z I 0 L 0 N o Y W 5 n Z W Q g V H l w Z S 5 7 U m V z Z X J 2 Z S A o R V V S K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V z d G l t Y X R p b 2 5 z L W 1 h d G N o Z W Q t M j A y M V 8 w O V 8 y N C 1 w c m l j Z W Q t V V M t M j A y M V 8 w O V 8 y N C 1 w c m l j Z W Q t R X V y b 3 B l L T I w M j F f M D l f M j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N 0 a W 1 h d G l v b n M t b W F 0 Y 2 h l Z C 0 y M D I x X z A 5 X z I 0 L X B y a W N l Z C 1 V U y 0 y M D I x X z A 5 X z I 0 L X B y a W N l Z C 1 F d X J v c G U t M j A y M V 8 w O V 8 y N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3 R p b W F 0 a W 9 u c y 1 t Y X R j a G V k L T I w M j F f M D l f M j Q t c H J p Y 2 V k L V V T L T I w M j F f M D l f M j Q t c H J p Y 2 V k L U V 1 c m 9 w Z S 0 y M D I x X z A 5 X z I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9 T M h / I W z Z H p 5 9 k L M p L I U Y A A A A A A g A A A A A A A 2 Y A A M A A A A A Q A A A A S P b V a A K r U F m p o E J 9 t m G L n Q A A A A A E g A A A o A A A A B A A A A C o R 7 H t q M c D R 2 D 5 4 M k l s W 0 c U A A A A C Y Q c q n K B q 9 L e Y 2 k q 4 m B M g E L 0 f 9 z P j N 8 v 7 4 t x L K x X P / j i 3 X J N W H o W c F Y t I c o l 2 5 D H x s B a 8 f Q Q 7 p e L / x d B 6 t L K B D U J D b W O F d n 1 A Q w 2 z 0 E 1 P b a F A A A A O X r o p f q 2 W W X 8 P J i D S e W 2 L w d F 1 V a < / D a t a M a s h u p > 
</file>

<file path=customXml/itemProps1.xml><?xml version="1.0" encoding="utf-8"?>
<ds:datastoreItem xmlns:ds="http://schemas.openxmlformats.org/officeDocument/2006/customXml" ds:itemID="{465B002A-5993-4284-B3CE-96AABAF3E74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Cuvées</vt:lpstr>
      <vt:lpstr>Red Cuvées</vt:lpstr>
      <vt:lpstr>White Cuvées</vt:lpstr>
      <vt:lpstr>Alcohol Cuvées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Aouli, Amayès</dc:creator>
  <cp:lastModifiedBy>Goujon, Jean</cp:lastModifiedBy>
  <cp:lastPrinted>2022-08-01T13:43:25Z</cp:lastPrinted>
  <dcterms:created xsi:type="dcterms:W3CDTF">2021-09-24T15:47:51Z</dcterms:created>
  <dcterms:modified xsi:type="dcterms:W3CDTF">2022-11-28T16:36:18Z</dcterms:modified>
</cp:coreProperties>
</file>